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8.xml" ContentType="application/vnd.openxmlformats-officedocument.drawing+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luzma\Desktop\"/>
    </mc:Choice>
  </mc:AlternateContent>
  <xr:revisionPtr revIDLastSave="0" documentId="8_{7E963431-0585-492A-9B36-739ED428EA31}" xr6:coauthVersionLast="47" xr6:coauthVersionMax="47" xr10:uidLastSave="{00000000-0000-0000-0000-000000000000}"/>
  <bookViews>
    <workbookView xWindow="-108" yWindow="-108" windowWidth="23256" windowHeight="13896" firstSheet="6" activeTab="6" xr2:uid="{00000000-000D-0000-FFFF-FFFF00000000}"/>
  </bookViews>
  <sheets>
    <sheet name="Seguridad Humana" sheetId="1" r:id="rId1"/>
    <sheet name="Vida Digna" sheetId="2" r:id="rId2"/>
    <sheet name="Desarrollo Economico" sheetId="3" r:id="rId3"/>
    <sheet name="Ciudad Conectada" sheetId="4" r:id="rId4"/>
    <sheet name="Innovación Pública" sheetId="5" r:id="rId5"/>
    <sheet name="Capitulo Etnico" sheetId="6" r:id="rId6"/>
    <sheet name="PLAN DE DESARROLLO 2024 - 2027" sheetId="8" r:id="rId7"/>
    <sheet name="SEGUIMIENTO DEL PLAN DE DESARRO" sheetId="7" r:id="rId8"/>
    <sheet name="CRITERIOS DE EVALUACIÓN" sheetId="9" r:id="rId9"/>
    <sheet name="GRAFICAS SEGURIDAD HUMANA" sheetId="11" r:id="rId10"/>
    <sheet name="GRAFICAS VIDA DIGNA " sheetId="10" r:id="rId11"/>
    <sheet name="GRAFICAS DESARROLLO ECONOMICO" sheetId="12" r:id="rId12"/>
    <sheet name="GRAFICAS CIUDAD CONECTADA" sheetId="13" r:id="rId13"/>
    <sheet name="GRAFICAS INNOVACIÓN Y PARTICIPA" sheetId="15" r:id="rId14"/>
    <sheet name="GRAFICAS CAPITULO ETNICO" sheetId="17" r:id="rId15"/>
    <sheet name="Matriz de Visor" sheetId="18" r:id="rId16"/>
    <sheet name="REPROGRAMACIÓN - GRAFICAS" sheetId="19" r:id="rId17"/>
  </sheets>
  <externalReferences>
    <externalReference r:id="rId18"/>
    <externalReference r:id="rId19"/>
  </externalReferences>
  <definedNames>
    <definedName name="_xlnm._FilterDatabase" localSheetId="5" hidden="1">'Capitulo Etnico'!$A$2:$AI$53</definedName>
    <definedName name="_xlnm._FilterDatabase" localSheetId="3" hidden="1">'Ciudad Conectada'!$B$2:$AG$171</definedName>
    <definedName name="_xlnm._FilterDatabase" localSheetId="2" hidden="1">'Desarrollo Economico'!$A$2:$AI$132</definedName>
    <definedName name="_xlnm._FilterDatabase" localSheetId="4" hidden="1">'Innovación Pública'!$A$2:$AJ$141</definedName>
    <definedName name="_xlnm._FilterDatabase" localSheetId="6" hidden="1">'PLAN DE DESARROLLO 2024 - 2027'!$B$2:$T$206</definedName>
    <definedName name="_xlnm._FilterDatabase" localSheetId="0" hidden="1">'Seguridad Humana'!$A$2:$AQ$211</definedName>
    <definedName name="_xlnm._FilterDatabase" localSheetId="1" hidden="1">'Vida Digna'!$A$2:$AN$205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37" i="4" l="1"/>
  <c r="S51" i="4"/>
  <c r="S41" i="2" l="1"/>
  <c r="S38" i="2"/>
  <c r="T38" i="2" s="1"/>
  <c r="S44" i="3" l="1"/>
  <c r="T44" i="3" s="1"/>
  <c r="R94" i="1" l="1"/>
  <c r="S133" i="1" l="1"/>
  <c r="T133" i="1" s="1"/>
  <c r="Z133" i="1" s="1"/>
  <c r="S132" i="1"/>
  <c r="T132" i="1"/>
  <c r="Z132" i="1"/>
  <c r="V132" i="1"/>
  <c r="V133" i="1"/>
  <c r="R202" i="2"/>
  <c r="S202" i="2"/>
  <c r="S134" i="4" l="1"/>
  <c r="T134" i="4" s="1"/>
  <c r="Z134" i="4" s="1"/>
  <c r="V134" i="4" l="1"/>
  <c r="R142" i="4"/>
  <c r="R141" i="4"/>
  <c r="S100" i="2" l="1"/>
  <c r="Z79" i="1" l="1"/>
  <c r="S70" i="2" l="1"/>
  <c r="T70" i="2" s="1"/>
  <c r="S72" i="2"/>
  <c r="S20" i="2"/>
  <c r="S18" i="2"/>
  <c r="V17" i="2"/>
  <c r="R53" i="5" l="1"/>
  <c r="R52" i="5"/>
  <c r="R51" i="5"/>
  <c r="R50" i="5"/>
  <c r="S63" i="5" l="1"/>
  <c r="S83" i="5" l="1"/>
  <c r="V83" i="5" s="1"/>
  <c r="R121" i="1" l="1"/>
  <c r="R132" i="2" l="1"/>
  <c r="X120" i="3" l="1"/>
  <c r="R205" i="2"/>
  <c r="V134" i="1"/>
  <c r="S22" i="2" l="1"/>
  <c r="S19" i="2"/>
  <c r="S17" i="2"/>
  <c r="S16" i="2"/>
  <c r="S6" i="1"/>
  <c r="S56" i="1"/>
  <c r="S52" i="6" l="1"/>
  <c r="S51" i="6"/>
  <c r="S50" i="6"/>
  <c r="S49" i="6"/>
  <c r="S48" i="6"/>
  <c r="S46" i="6"/>
  <c r="S45" i="6"/>
  <c r="S44" i="6"/>
  <c r="S43" i="6"/>
  <c r="S42" i="6"/>
  <c r="S41" i="6"/>
  <c r="S38" i="6"/>
  <c r="S37" i="6"/>
  <c r="S36" i="6"/>
  <c r="S35" i="6"/>
  <c r="S34" i="6"/>
  <c r="S33" i="6"/>
  <c r="S32" i="6"/>
  <c r="S29" i="6"/>
  <c r="S28" i="6"/>
  <c r="S27" i="6"/>
  <c r="S26" i="6"/>
  <c r="S25" i="6"/>
  <c r="S24" i="6"/>
  <c r="S23" i="6"/>
  <c r="S21" i="6"/>
  <c r="S20" i="6"/>
  <c r="S19" i="6"/>
  <c r="S18" i="6"/>
  <c r="S17" i="6"/>
  <c r="S16" i="6"/>
  <c r="S15" i="6"/>
  <c r="S12" i="6"/>
  <c r="S11" i="6"/>
  <c r="S10" i="6"/>
  <c r="S9" i="6"/>
  <c r="S8" i="6"/>
  <c r="S7" i="6"/>
  <c r="S6" i="6"/>
  <c r="S86" i="5"/>
  <c r="S141" i="5"/>
  <c r="S140" i="5"/>
  <c r="S138" i="5"/>
  <c r="S137" i="5"/>
  <c r="S136" i="5"/>
  <c r="S135" i="5"/>
  <c r="S133" i="5"/>
  <c r="S132" i="5"/>
  <c r="S130" i="5"/>
  <c r="S129" i="5"/>
  <c r="S128" i="5"/>
  <c r="V128" i="5" s="1"/>
  <c r="S127" i="5"/>
  <c r="S126" i="5"/>
  <c r="S125" i="5"/>
  <c r="S124" i="5"/>
  <c r="S122" i="5"/>
  <c r="S121" i="5"/>
  <c r="S120" i="5"/>
  <c r="S119" i="5"/>
  <c r="S118" i="5"/>
  <c r="S117" i="5"/>
  <c r="S115" i="5"/>
  <c r="S114" i="5"/>
  <c r="S113" i="5"/>
  <c r="S112" i="5"/>
  <c r="S111" i="5"/>
  <c r="S108" i="5"/>
  <c r="S107" i="5"/>
  <c r="S106" i="5"/>
  <c r="S104" i="5"/>
  <c r="S103" i="5"/>
  <c r="S102" i="5"/>
  <c r="S101" i="5"/>
  <c r="S100" i="5"/>
  <c r="S98" i="5"/>
  <c r="S97" i="5"/>
  <c r="S96" i="5"/>
  <c r="S95" i="5"/>
  <c r="S93" i="5"/>
  <c r="S91" i="5"/>
  <c r="S90" i="5"/>
  <c r="S89" i="5"/>
  <c r="S88" i="5"/>
  <c r="S87" i="5"/>
  <c r="S84" i="5"/>
  <c r="S82" i="5"/>
  <c r="S81" i="5"/>
  <c r="S80" i="5"/>
  <c r="S79" i="5"/>
  <c r="S76" i="5"/>
  <c r="S75" i="5"/>
  <c r="S72" i="5"/>
  <c r="S71" i="5"/>
  <c r="S70" i="5"/>
  <c r="S69" i="5"/>
  <c r="S67" i="5"/>
  <c r="S65" i="5"/>
  <c r="S64" i="5"/>
  <c r="S62" i="5"/>
  <c r="S60" i="5"/>
  <c r="S59" i="5"/>
  <c r="S56" i="5"/>
  <c r="S54" i="5"/>
  <c r="S53" i="5"/>
  <c r="S52" i="5"/>
  <c r="S51" i="5"/>
  <c r="S50" i="5"/>
  <c r="S47" i="5"/>
  <c r="S46" i="5"/>
  <c r="S45" i="5"/>
  <c r="S44" i="5"/>
  <c r="S42" i="5"/>
  <c r="S41" i="5"/>
  <c r="S39" i="5"/>
  <c r="S38" i="5"/>
  <c r="S37" i="5"/>
  <c r="S35" i="5"/>
  <c r="S34" i="5"/>
  <c r="S33" i="5"/>
  <c r="S31" i="5"/>
  <c r="S29" i="5"/>
  <c r="S28" i="5"/>
  <c r="S27" i="5"/>
  <c r="S25" i="5"/>
  <c r="S24" i="5"/>
  <c r="S22" i="5"/>
  <c r="S21" i="5"/>
  <c r="S20" i="5"/>
  <c r="S19" i="5"/>
  <c r="S16" i="5"/>
  <c r="S15" i="5"/>
  <c r="S14" i="5"/>
  <c r="S13" i="5"/>
  <c r="S11" i="5"/>
  <c r="S10" i="5"/>
  <c r="S8" i="5"/>
  <c r="S7" i="5"/>
  <c r="S6" i="5"/>
  <c r="S137" i="4"/>
  <c r="S110" i="4"/>
  <c r="S107" i="4"/>
  <c r="S171" i="4"/>
  <c r="S170" i="4"/>
  <c r="S169" i="4"/>
  <c r="S166" i="4"/>
  <c r="S165" i="4"/>
  <c r="S164" i="4"/>
  <c r="S163" i="4"/>
  <c r="S162" i="4"/>
  <c r="S161" i="4"/>
  <c r="S160" i="4"/>
  <c r="S158" i="4"/>
  <c r="S157" i="4"/>
  <c r="S156" i="4"/>
  <c r="S155" i="4"/>
  <c r="S154" i="4"/>
  <c r="S153" i="4"/>
  <c r="S152" i="4"/>
  <c r="S151" i="4"/>
  <c r="S149" i="4"/>
  <c r="S148" i="4"/>
  <c r="S147" i="4"/>
  <c r="S146" i="4"/>
  <c r="S145" i="4"/>
  <c r="S141" i="4"/>
  <c r="S139" i="4"/>
  <c r="S138" i="4"/>
  <c r="S133" i="4"/>
  <c r="S132" i="4"/>
  <c r="S131" i="4"/>
  <c r="S130" i="4"/>
  <c r="S129" i="4"/>
  <c r="S128" i="4"/>
  <c r="S127" i="4"/>
  <c r="S126" i="4"/>
  <c r="S125" i="4"/>
  <c r="S124" i="4"/>
  <c r="S123" i="4"/>
  <c r="S122" i="4"/>
  <c r="S120" i="4"/>
  <c r="S119" i="4"/>
  <c r="S118" i="4"/>
  <c r="S117" i="4"/>
  <c r="S116" i="4"/>
  <c r="S115" i="4"/>
  <c r="S114" i="4"/>
  <c r="S113" i="4"/>
  <c r="S112" i="4"/>
  <c r="S111" i="4"/>
  <c r="S108" i="4"/>
  <c r="S106" i="4"/>
  <c r="S9" i="4"/>
  <c r="S103" i="4"/>
  <c r="S102" i="4"/>
  <c r="S101" i="4"/>
  <c r="S100" i="4"/>
  <c r="S99" i="4"/>
  <c r="S96" i="4"/>
  <c r="S94" i="4"/>
  <c r="S93" i="4"/>
  <c r="S92" i="4"/>
  <c r="S90" i="4"/>
  <c r="S89" i="4"/>
  <c r="S88" i="4"/>
  <c r="S87" i="4"/>
  <c r="S86" i="4"/>
  <c r="S85" i="4"/>
  <c r="S84" i="4"/>
  <c r="S81" i="4"/>
  <c r="S80" i="4"/>
  <c r="S78" i="4"/>
  <c r="S76" i="4"/>
  <c r="S75" i="4"/>
  <c r="S74" i="4"/>
  <c r="S72" i="4"/>
  <c r="S71" i="4"/>
  <c r="S70" i="4"/>
  <c r="S68" i="4"/>
  <c r="T68" i="4" s="1"/>
  <c r="S67" i="4"/>
  <c r="S66" i="4"/>
  <c r="S65" i="4"/>
  <c r="S63" i="4"/>
  <c r="S62" i="4"/>
  <c r="S59" i="4"/>
  <c r="S58" i="4"/>
  <c r="S56" i="4"/>
  <c r="S55" i="4"/>
  <c r="S54" i="4"/>
  <c r="S52" i="4"/>
  <c r="S49" i="4"/>
  <c r="S48" i="4"/>
  <c r="S47" i="4"/>
  <c r="S45" i="4"/>
  <c r="S44" i="4"/>
  <c r="S43" i="4"/>
  <c r="V43" i="4" s="1"/>
  <c r="S42" i="4"/>
  <c r="S41" i="4"/>
  <c r="S40" i="4"/>
  <c r="S39" i="4"/>
  <c r="S36" i="4"/>
  <c r="S35" i="4"/>
  <c r="S34" i="4"/>
  <c r="S32" i="4"/>
  <c r="S31" i="4"/>
  <c r="S30" i="4"/>
  <c r="S29" i="4"/>
  <c r="S28" i="4"/>
  <c r="S25" i="4"/>
  <c r="S24" i="4"/>
  <c r="S23" i="4"/>
  <c r="S21" i="4"/>
  <c r="S20" i="4"/>
  <c r="S19" i="4"/>
  <c r="S18" i="4"/>
  <c r="S17" i="4"/>
  <c r="S16" i="4"/>
  <c r="S15" i="4"/>
  <c r="S14" i="4"/>
  <c r="S13" i="4"/>
  <c r="S12" i="4"/>
  <c r="S11" i="4"/>
  <c r="S10" i="4"/>
  <c r="S8" i="4"/>
  <c r="S7" i="4"/>
  <c r="S6" i="4"/>
  <c r="S42" i="3"/>
  <c r="S116" i="3"/>
  <c r="S115" i="3"/>
  <c r="S35" i="3"/>
  <c r="S132" i="3"/>
  <c r="S131" i="3"/>
  <c r="S130" i="3"/>
  <c r="S128" i="3"/>
  <c r="S127" i="3"/>
  <c r="S126" i="3"/>
  <c r="S123" i="3"/>
  <c r="S122" i="3"/>
  <c r="S121" i="3"/>
  <c r="S120" i="3"/>
  <c r="S119" i="3"/>
  <c r="S118" i="3"/>
  <c r="S114" i="3"/>
  <c r="S113" i="3"/>
  <c r="S112" i="3"/>
  <c r="S111" i="3"/>
  <c r="S110" i="3"/>
  <c r="S109" i="3"/>
  <c r="S108" i="3"/>
  <c r="S106" i="3"/>
  <c r="S105" i="3"/>
  <c r="S104" i="3"/>
  <c r="S103" i="3"/>
  <c r="S102" i="3"/>
  <c r="S99" i="3"/>
  <c r="S98" i="3"/>
  <c r="S97" i="3"/>
  <c r="S95" i="3"/>
  <c r="S94" i="3"/>
  <c r="S93" i="3"/>
  <c r="S92" i="3"/>
  <c r="S90" i="3"/>
  <c r="S89" i="3"/>
  <c r="S88" i="3"/>
  <c r="S87" i="3"/>
  <c r="S85" i="3"/>
  <c r="S84" i="3"/>
  <c r="S83" i="3"/>
  <c r="S82" i="3"/>
  <c r="S81" i="3"/>
  <c r="S80" i="3"/>
  <c r="S79" i="3"/>
  <c r="S78" i="3"/>
  <c r="S77" i="3"/>
  <c r="S76" i="3"/>
  <c r="S75" i="3"/>
  <c r="S74" i="3"/>
  <c r="S72" i="3"/>
  <c r="S71" i="3"/>
  <c r="S70" i="3"/>
  <c r="S69" i="3"/>
  <c r="S66" i="3"/>
  <c r="S65" i="3"/>
  <c r="S63" i="3"/>
  <c r="S62" i="3"/>
  <c r="S61" i="3"/>
  <c r="V61" i="3" s="1"/>
  <c r="S60" i="3"/>
  <c r="S58" i="3"/>
  <c r="S57" i="3"/>
  <c r="S56" i="3"/>
  <c r="S55" i="3"/>
  <c r="S53" i="3"/>
  <c r="S52" i="3"/>
  <c r="S51" i="3"/>
  <c r="S50" i="3"/>
  <c r="S49" i="3"/>
  <c r="S48" i="3"/>
  <c r="S47" i="3"/>
  <c r="S41" i="3"/>
  <c r="S39" i="3"/>
  <c r="S38" i="3"/>
  <c r="S37" i="3"/>
  <c r="S36" i="3"/>
  <c r="S32" i="3"/>
  <c r="S29" i="3"/>
  <c r="S23" i="3"/>
  <c r="S6" i="3"/>
  <c r="T6" i="3" s="1"/>
  <c r="S31" i="3"/>
  <c r="S30" i="3"/>
  <c r="S27" i="3"/>
  <c r="S26" i="3"/>
  <c r="S25" i="3"/>
  <c r="S22" i="3"/>
  <c r="S20" i="3"/>
  <c r="S19" i="3"/>
  <c r="S18" i="3"/>
  <c r="S17" i="3"/>
  <c r="S12" i="3"/>
  <c r="S14" i="3"/>
  <c r="S13" i="3"/>
  <c r="S10" i="3"/>
  <c r="S9" i="3"/>
  <c r="S8" i="3"/>
  <c r="S7" i="3"/>
  <c r="S6" i="2"/>
  <c r="S205" i="2" l="1"/>
  <c r="S204" i="2"/>
  <c r="S201" i="2"/>
  <c r="S200" i="2"/>
  <c r="S199" i="2"/>
  <c r="S197" i="2"/>
  <c r="S196" i="2"/>
  <c r="S195" i="2"/>
  <c r="S194" i="2"/>
  <c r="S190" i="2"/>
  <c r="S188" i="2"/>
  <c r="S178" i="2"/>
  <c r="S179" i="2"/>
  <c r="S181" i="2"/>
  <c r="S175" i="2"/>
  <c r="S172" i="2"/>
  <c r="S171" i="2"/>
  <c r="S167" i="2"/>
  <c r="S168" i="2"/>
  <c r="S169" i="2"/>
  <c r="S166" i="2"/>
  <c r="S162" i="2"/>
  <c r="S163" i="2"/>
  <c r="S161" i="2"/>
  <c r="S156" i="2"/>
  <c r="S157" i="2"/>
  <c r="S158" i="2"/>
  <c r="S159" i="2"/>
  <c r="S155" i="2"/>
  <c r="S150" i="2"/>
  <c r="S151" i="2"/>
  <c r="S152" i="2"/>
  <c r="S153" i="2"/>
  <c r="S149" i="2"/>
  <c r="S147" i="2"/>
  <c r="S146" i="2"/>
  <c r="S142" i="2"/>
  <c r="S143" i="2"/>
  <c r="S144" i="2"/>
  <c r="S141" i="2"/>
  <c r="S139" i="2"/>
  <c r="T139" i="2" s="1"/>
  <c r="S133" i="2"/>
  <c r="S138" i="2"/>
  <c r="S137" i="2"/>
  <c r="S136" i="2"/>
  <c r="S135" i="2"/>
  <c r="S134" i="2"/>
  <c r="S132" i="2"/>
  <c r="S127" i="2"/>
  <c r="S129" i="2"/>
  <c r="S128" i="2"/>
  <c r="S125" i="2"/>
  <c r="S121" i="2"/>
  <c r="S108" i="2"/>
  <c r="S109" i="2"/>
  <c r="S110" i="2"/>
  <c r="S111" i="2"/>
  <c r="S112" i="2"/>
  <c r="S113" i="2"/>
  <c r="S114" i="2"/>
  <c r="S115" i="2"/>
  <c r="S116" i="2"/>
  <c r="S117" i="2"/>
  <c r="S118" i="2"/>
  <c r="S107" i="2"/>
  <c r="S103" i="2"/>
  <c r="S104" i="2"/>
  <c r="S105" i="2"/>
  <c r="S102" i="2"/>
  <c r="S98" i="2"/>
  <c r="S99" i="2"/>
  <c r="S94" i="2"/>
  <c r="S95" i="2"/>
  <c r="S96" i="2"/>
  <c r="S97" i="2"/>
  <c r="S93" i="2"/>
  <c r="S90" i="2"/>
  <c r="S87" i="2"/>
  <c r="S88" i="2"/>
  <c r="S89" i="2"/>
  <c r="S86" i="2"/>
  <c r="S79" i="2"/>
  <c r="S80" i="2"/>
  <c r="S81" i="2"/>
  <c r="S82" i="2"/>
  <c r="S83" i="2"/>
  <c r="S84" i="2"/>
  <c r="S78" i="2"/>
  <c r="S75" i="2"/>
  <c r="S76" i="2"/>
  <c r="S74" i="2"/>
  <c r="S71" i="2"/>
  <c r="S69" i="2"/>
  <c r="S62" i="2"/>
  <c r="S63" i="2"/>
  <c r="S64" i="2"/>
  <c r="S65" i="2"/>
  <c r="S66" i="2"/>
  <c r="S67" i="2"/>
  <c r="S61" i="2"/>
  <c r="S57" i="2"/>
  <c r="S58" i="2"/>
  <c r="S59" i="2"/>
  <c r="S54" i="2"/>
  <c r="S55" i="2"/>
  <c r="S53" i="2"/>
  <c r="S51" i="2"/>
  <c r="S50" i="2"/>
  <c r="S45" i="2"/>
  <c r="S46" i="2"/>
  <c r="S47" i="2"/>
  <c r="S48" i="2"/>
  <c r="S44" i="2"/>
  <c r="S42" i="2"/>
  <c r="S40" i="2"/>
  <c r="S36" i="2"/>
  <c r="S37" i="2"/>
  <c r="S35" i="2"/>
  <c r="S31" i="2"/>
  <c r="S32" i="2"/>
  <c r="S33" i="2"/>
  <c r="S30" i="2"/>
  <c r="T30" i="2" s="1"/>
  <c r="S23" i="2"/>
  <c r="S24" i="2"/>
  <c r="S25" i="2"/>
  <c r="V25" i="2" s="1"/>
  <c r="S26" i="2"/>
  <c r="V26" i="2" s="1"/>
  <c r="S27" i="2"/>
  <c r="V27" i="2" s="1"/>
  <c r="S28" i="2"/>
  <c r="S14" i="2"/>
  <c r="S13" i="2"/>
  <c r="V13" i="2" s="1"/>
  <c r="S7" i="2"/>
  <c r="S8" i="2"/>
  <c r="S9" i="2"/>
  <c r="S10" i="2"/>
  <c r="S11" i="2"/>
  <c r="S211" i="1"/>
  <c r="S210" i="1"/>
  <c r="S208" i="1"/>
  <c r="T208" i="1" s="1"/>
  <c r="S207" i="1"/>
  <c r="S205" i="1"/>
  <c r="S204" i="1"/>
  <c r="S201" i="1"/>
  <c r="S202" i="1"/>
  <c r="S200" i="1"/>
  <c r="S197" i="1"/>
  <c r="S198" i="1"/>
  <c r="S196" i="1"/>
  <c r="S194" i="1"/>
  <c r="S193" i="1"/>
  <c r="S188" i="1"/>
  <c r="S189" i="1"/>
  <c r="S190" i="1"/>
  <c r="S191" i="1"/>
  <c r="S187" i="1"/>
  <c r="S185" i="1"/>
  <c r="S181" i="1"/>
  <c r="S182" i="1"/>
  <c r="S183" i="1"/>
  <c r="S180" i="1"/>
  <c r="S177" i="1"/>
  <c r="S178" i="1"/>
  <c r="S176" i="1"/>
  <c r="S174" i="1"/>
  <c r="S173" i="1"/>
  <c r="S168" i="1"/>
  <c r="S169" i="1"/>
  <c r="S170" i="1"/>
  <c r="S167" i="1"/>
  <c r="S165" i="1"/>
  <c r="S162" i="1"/>
  <c r="S163" i="1"/>
  <c r="S164" i="1"/>
  <c r="S161" i="1"/>
  <c r="S155" i="1"/>
  <c r="S156" i="1"/>
  <c r="S157" i="1"/>
  <c r="S158" i="1"/>
  <c r="S159" i="1"/>
  <c r="S154" i="1"/>
  <c r="S150" i="1"/>
  <c r="S151" i="1"/>
  <c r="S152" i="1"/>
  <c r="S149" i="1"/>
  <c r="S145" i="1"/>
  <c r="S146" i="1"/>
  <c r="S147" i="1"/>
  <c r="S144" i="1"/>
  <c r="S142" i="1"/>
  <c r="S141" i="1"/>
  <c r="S134" i="1"/>
  <c r="S135" i="1"/>
  <c r="S136" i="1"/>
  <c r="S137" i="1"/>
  <c r="S138" i="1"/>
  <c r="S139" i="1"/>
  <c r="S127" i="1"/>
  <c r="S128" i="1"/>
  <c r="S129" i="1"/>
  <c r="S126" i="1"/>
  <c r="S107" i="1"/>
  <c r="S108" i="1"/>
  <c r="S109" i="1"/>
  <c r="S110" i="1"/>
  <c r="S111" i="1"/>
  <c r="S112" i="1"/>
  <c r="S113" i="1"/>
  <c r="S114" i="1"/>
  <c r="S115" i="1"/>
  <c r="S116" i="1"/>
  <c r="S117" i="1"/>
  <c r="S118" i="1"/>
  <c r="S119" i="1"/>
  <c r="S120" i="1"/>
  <c r="S121" i="1"/>
  <c r="S122" i="1"/>
  <c r="S123" i="1"/>
  <c r="S124" i="1"/>
  <c r="S106" i="1"/>
  <c r="S104" i="1"/>
  <c r="S103" i="1"/>
  <c r="S101" i="1"/>
  <c r="S100" i="1"/>
  <c r="S97" i="1"/>
  <c r="S95" i="1"/>
  <c r="S93" i="1"/>
  <c r="S94" i="1"/>
  <c r="V94" i="1" s="1"/>
  <c r="S96" i="1"/>
  <c r="S98" i="1"/>
  <c r="S89" i="1"/>
  <c r="S90" i="1"/>
  <c r="S88" i="1"/>
  <c r="S86" i="1"/>
  <c r="S79" i="1"/>
  <c r="S80" i="1"/>
  <c r="S81" i="1"/>
  <c r="S82" i="1"/>
  <c r="S83" i="1"/>
  <c r="S84" i="1"/>
  <c r="S85" i="1"/>
  <c r="S78" i="1"/>
  <c r="S66" i="1"/>
  <c r="S67" i="1"/>
  <c r="S68" i="1"/>
  <c r="S69" i="1"/>
  <c r="S70" i="1"/>
  <c r="S71" i="1"/>
  <c r="S72" i="1"/>
  <c r="S73" i="1"/>
  <c r="S74" i="1"/>
  <c r="S75" i="1"/>
  <c r="S76" i="1"/>
  <c r="S60" i="1"/>
  <c r="S62" i="1"/>
  <c r="S63" i="1"/>
  <c r="S64" i="1"/>
  <c r="S65" i="1"/>
  <c r="S59" i="1"/>
  <c r="S53" i="1"/>
  <c r="S46" i="1"/>
  <c r="S40" i="1"/>
  <c r="S33" i="1"/>
  <c r="S27" i="1"/>
  <c r="S17" i="1"/>
  <c r="T17" i="1" s="1"/>
  <c r="S13" i="1"/>
  <c r="S54" i="1"/>
  <c r="S55" i="1"/>
  <c r="S51" i="1"/>
  <c r="S47" i="1"/>
  <c r="S48" i="1"/>
  <c r="S49" i="1"/>
  <c r="S50" i="1"/>
  <c r="S45" i="1"/>
  <c r="S43" i="1"/>
  <c r="S42" i="1"/>
  <c r="S41" i="1"/>
  <c r="S38" i="1"/>
  <c r="S37" i="1"/>
  <c r="S35" i="1"/>
  <c r="S34" i="1"/>
  <c r="S28" i="1"/>
  <c r="S29" i="1"/>
  <c r="S30" i="1"/>
  <c r="S25" i="1"/>
  <c r="S24" i="1"/>
  <c r="S22" i="1"/>
  <c r="S18" i="1"/>
  <c r="S19" i="1"/>
  <c r="S20" i="1"/>
  <c r="S21" i="1"/>
  <c r="T13" i="1"/>
  <c r="S14" i="1"/>
  <c r="S15" i="1"/>
  <c r="T6" i="1"/>
  <c r="S7" i="1"/>
  <c r="V7" i="1" s="1"/>
  <c r="S8" i="1"/>
  <c r="S9" i="1"/>
  <c r="S10" i="1"/>
  <c r="S11" i="1"/>
  <c r="V82" i="5" l="1"/>
  <c r="V32" i="3" l="1"/>
  <c r="V9" i="3"/>
  <c r="V20" i="2" l="1"/>
  <c r="X29" i="5" l="1"/>
  <c r="H39" i="9" l="1"/>
  <c r="H37" i="9"/>
  <c r="P143" i="4" l="1"/>
  <c r="S143" i="4" s="1"/>
  <c r="F133" i="2" l="1"/>
  <c r="AA63" i="3" l="1"/>
  <c r="AA61" i="3"/>
  <c r="Y132" i="1"/>
  <c r="D54" i="19" l="1"/>
  <c r="E54" i="19"/>
  <c r="F54" i="19"/>
  <c r="J211" i="1"/>
  <c r="J210" i="1"/>
  <c r="J208" i="1"/>
  <c r="J29" i="5"/>
  <c r="J107" i="2"/>
  <c r="J7" i="5"/>
  <c r="U37" i="5"/>
  <c r="U28" i="5"/>
  <c r="U209" i="1"/>
  <c r="J209" i="1" l="1"/>
  <c r="J12" i="4" l="1"/>
  <c r="V138" i="1" l="1"/>
  <c r="X138" i="1" s="1"/>
  <c r="J138" i="1"/>
  <c r="T138" i="1" l="1"/>
  <c r="Z138" i="1" s="1"/>
  <c r="AB138" i="1" s="1"/>
  <c r="J121" i="2"/>
  <c r="V17" i="1" l="1"/>
  <c r="F16" i="9" l="1"/>
  <c r="AB9" i="6" l="1"/>
  <c r="AB10" i="6"/>
  <c r="AB12" i="6"/>
  <c r="AB80" i="1" l="1"/>
  <c r="AB64" i="1"/>
  <c r="AB65" i="1"/>
  <c r="AB63" i="1"/>
  <c r="AB49" i="1"/>
  <c r="AB32" i="6" l="1"/>
  <c r="S104" i="4" l="1"/>
  <c r="T101" i="4"/>
  <c r="F146" i="2" l="1"/>
  <c r="F139" i="2"/>
  <c r="F137" i="2"/>
  <c r="F134" i="2"/>
  <c r="S13" i="6" l="1"/>
  <c r="O61" i="1"/>
  <c r="S61" i="1" s="1"/>
  <c r="AA20" i="4" l="1"/>
  <c r="J20" i="4"/>
  <c r="V18" i="2" l="1"/>
  <c r="AA78" i="2" l="1"/>
  <c r="AA84" i="2"/>
  <c r="O189" i="2" l="1"/>
  <c r="S189" i="2" s="1"/>
  <c r="O186" i="2" l="1"/>
  <c r="S186" i="2" s="1"/>
  <c r="O185" i="2"/>
  <c r="S185" i="2" s="1"/>
  <c r="O183" i="2"/>
  <c r="S183" i="2" s="1"/>
  <c r="O180" i="2"/>
  <c r="S180" i="2" s="1"/>
  <c r="O177" i="2"/>
  <c r="S177" i="2" s="1"/>
  <c r="O174" i="2"/>
  <c r="S174" i="2" s="1"/>
  <c r="Y193" i="1" l="1"/>
  <c r="AA50" i="3" l="1"/>
  <c r="T103" i="4" l="1"/>
  <c r="M119" i="5" l="1"/>
  <c r="I119" i="5"/>
  <c r="L29" i="3"/>
  <c r="J30" i="3"/>
  <c r="J29" i="3"/>
  <c r="O73" i="5" l="1"/>
  <c r="S73" i="5" s="1"/>
  <c r="T180" i="1" l="1"/>
  <c r="N142" i="4"/>
  <c r="S142" i="4" s="1"/>
  <c r="O191" i="2" l="1"/>
  <c r="S191" i="2" s="1"/>
  <c r="O123" i="2" l="1"/>
  <c r="S123" i="2" s="1"/>
  <c r="T3" i="8" l="1"/>
  <c r="I630" i="18" l="1"/>
  <c r="I631" i="18"/>
  <c r="I632" i="18"/>
  <c r="I633" i="18"/>
  <c r="I634" i="18"/>
  <c r="I627" i="18"/>
  <c r="I614" i="18"/>
  <c r="I603" i="18"/>
  <c r="I601" i="18"/>
  <c r="I585" i="18"/>
  <c r="I563" i="18"/>
  <c r="I553" i="18"/>
  <c r="I547" i="18"/>
  <c r="I541" i="18" l="1"/>
  <c r="I534" i="18"/>
  <c r="I516" i="18"/>
  <c r="I506" i="18"/>
  <c r="I504" i="18"/>
  <c r="I465" i="18"/>
  <c r="I447" i="18"/>
  <c r="I449" i="18"/>
  <c r="I441" i="18"/>
  <c r="I442" i="18"/>
  <c r="I439" i="18"/>
  <c r="I407" i="18"/>
  <c r="I400" i="18"/>
  <c r="I397" i="18"/>
  <c r="I384" i="18"/>
  <c r="I385" i="18"/>
  <c r="I386" i="18"/>
  <c r="I393" i="18"/>
  <c r="I396" i="18"/>
  <c r="I371" i="18"/>
  <c r="I276" i="18"/>
  <c r="I269" i="18"/>
  <c r="I270" i="18"/>
  <c r="I264" i="18"/>
  <c r="I255" i="18"/>
  <c r="I258" i="18"/>
  <c r="I260" i="18"/>
  <c r="I261" i="18"/>
  <c r="I253" i="18"/>
  <c r="I232" i="18"/>
  <c r="I219" i="18"/>
  <c r="I218" i="18"/>
  <c r="I207" i="18"/>
  <c r="I208" i="18"/>
  <c r="I166" i="18"/>
  <c r="I138" i="18"/>
  <c r="I139" i="18"/>
  <c r="I140" i="18"/>
  <c r="I133" i="18"/>
  <c r="I131" i="18"/>
  <c r="I110" i="18"/>
  <c r="I111" i="18"/>
  <c r="I112" i="18"/>
  <c r="I113" i="18"/>
  <c r="I104" i="18"/>
  <c r="I107" i="18"/>
  <c r="I97" i="18"/>
  <c r="I94" i="18"/>
  <c r="I91" i="18"/>
  <c r="I75" i="18"/>
  <c r="I77" i="18"/>
  <c r="I81" i="18"/>
  <c r="I60" i="18"/>
  <c r="I52" i="18"/>
  <c r="I53" i="18"/>
  <c r="I54" i="18"/>
  <c r="I55" i="18"/>
  <c r="I56" i="18"/>
  <c r="I57" i="18"/>
  <c r="I51" i="18"/>
  <c r="I45" i="18"/>
  <c r="I41" i="18"/>
  <c r="I35" i="18"/>
  <c r="I29" i="18"/>
  <c r="I33" i="18"/>
  <c r="I23" i="18"/>
  <c r="I24" i="18"/>
  <c r="I26" i="18"/>
  <c r="F1393" i="18"/>
  <c r="D1393" i="18"/>
  <c r="B1393" i="18"/>
  <c r="F1392" i="18"/>
  <c r="D1392" i="18"/>
  <c r="B1392" i="18"/>
  <c r="F1391" i="18"/>
  <c r="D1391" i="18"/>
  <c r="B1391" i="18"/>
  <c r="F1390" i="18"/>
  <c r="D1390" i="18"/>
  <c r="B1390" i="18"/>
  <c r="F1389" i="18"/>
  <c r="D1389" i="18"/>
  <c r="B1389" i="18"/>
  <c r="F1388" i="18"/>
  <c r="D1388" i="18"/>
  <c r="B1388" i="18"/>
  <c r="F1387" i="18"/>
  <c r="D1387" i="18"/>
  <c r="B1387" i="18"/>
  <c r="F1386" i="18"/>
  <c r="D1386" i="18"/>
  <c r="B1386" i="18"/>
  <c r="F1385" i="18"/>
  <c r="D1385" i="18"/>
  <c r="B1385" i="18"/>
  <c r="F1384" i="18"/>
  <c r="D1384" i="18"/>
  <c r="B1384" i="18"/>
  <c r="F1383" i="18"/>
  <c r="D1383" i="18"/>
  <c r="B1383" i="18"/>
  <c r="F1382" i="18"/>
  <c r="D1382" i="18"/>
  <c r="B1382" i="18"/>
  <c r="F1381" i="18"/>
  <c r="D1381" i="18"/>
  <c r="B1381" i="18"/>
  <c r="F1380" i="18"/>
  <c r="D1380" i="18"/>
  <c r="B1380" i="18"/>
  <c r="F1379" i="18"/>
  <c r="D1379" i="18"/>
  <c r="B1379" i="18"/>
  <c r="F1378" i="18"/>
  <c r="D1378" i="18"/>
  <c r="B1378" i="18"/>
  <c r="F1377" i="18"/>
  <c r="D1377" i="18"/>
  <c r="B1377" i="18"/>
  <c r="F1376" i="18"/>
  <c r="D1376" i="18"/>
  <c r="B1376" i="18"/>
  <c r="F1375" i="18"/>
  <c r="D1375" i="18"/>
  <c r="B1375" i="18"/>
  <c r="F1374" i="18"/>
  <c r="D1374" i="18"/>
  <c r="B1374" i="18"/>
  <c r="F1373" i="18"/>
  <c r="D1373" i="18"/>
  <c r="B1373" i="18"/>
  <c r="F1372" i="18"/>
  <c r="D1372" i="18"/>
  <c r="B1372" i="18"/>
  <c r="F1371" i="18"/>
  <c r="D1371" i="18"/>
  <c r="B1371" i="18"/>
  <c r="F1370" i="18"/>
  <c r="D1370" i="18"/>
  <c r="B1370" i="18"/>
  <c r="F1369" i="18"/>
  <c r="D1369" i="18"/>
  <c r="B1369" i="18"/>
  <c r="F1368" i="18"/>
  <c r="D1368" i="18"/>
  <c r="B1368" i="18"/>
  <c r="F1367" i="18"/>
  <c r="D1367" i="18"/>
  <c r="B1367" i="18"/>
  <c r="F1366" i="18"/>
  <c r="D1366" i="18"/>
  <c r="B1366" i="18"/>
  <c r="F1365" i="18"/>
  <c r="D1365" i="18"/>
  <c r="B1365" i="18"/>
  <c r="F1364" i="18"/>
  <c r="D1364" i="18"/>
  <c r="B1364" i="18"/>
  <c r="F1363" i="18"/>
  <c r="D1363" i="18"/>
  <c r="B1363" i="18"/>
  <c r="F1362" i="18"/>
  <c r="D1362" i="18"/>
  <c r="B1362" i="18"/>
  <c r="F1361" i="18"/>
  <c r="D1361" i="18"/>
  <c r="B1361" i="18"/>
  <c r="F1360" i="18"/>
  <c r="D1360" i="18"/>
  <c r="B1360" i="18"/>
  <c r="F1359" i="18"/>
  <c r="D1359" i="18"/>
  <c r="B1359" i="18"/>
  <c r="F1358" i="18"/>
  <c r="D1358" i="18"/>
  <c r="B1358" i="18"/>
  <c r="F1357" i="18"/>
  <c r="D1357" i="18"/>
  <c r="B1357" i="18"/>
  <c r="F1356" i="18"/>
  <c r="D1356" i="18"/>
  <c r="B1356" i="18"/>
  <c r="F1355" i="18"/>
  <c r="D1355" i="18"/>
  <c r="B1355" i="18"/>
  <c r="F1354" i="18"/>
  <c r="D1354" i="18"/>
  <c r="B1354" i="18"/>
  <c r="F1353" i="18"/>
  <c r="D1353" i="18"/>
  <c r="B1353" i="18"/>
  <c r="F1352" i="18"/>
  <c r="D1352" i="18"/>
  <c r="B1352" i="18"/>
  <c r="F1351" i="18"/>
  <c r="D1351" i="18"/>
  <c r="B1351" i="18"/>
  <c r="F1350" i="18"/>
  <c r="D1350" i="18"/>
  <c r="B1350" i="18"/>
  <c r="F1349" i="18"/>
  <c r="D1349" i="18"/>
  <c r="B1349" i="18"/>
  <c r="F1348" i="18"/>
  <c r="D1348" i="18"/>
  <c r="B1348" i="18"/>
  <c r="F1347" i="18"/>
  <c r="D1347" i="18"/>
  <c r="B1347" i="18"/>
  <c r="F1346" i="18"/>
  <c r="D1346" i="18"/>
  <c r="B1346" i="18"/>
  <c r="F1345" i="18"/>
  <c r="D1345" i="18"/>
  <c r="B1345" i="18"/>
  <c r="F1344" i="18"/>
  <c r="D1344" i="18"/>
  <c r="B1344" i="18"/>
  <c r="F1343" i="18"/>
  <c r="D1343" i="18"/>
  <c r="B1343" i="18"/>
  <c r="F1342" i="18"/>
  <c r="D1342" i="18"/>
  <c r="B1342" i="18"/>
  <c r="F1341" i="18"/>
  <c r="D1341" i="18"/>
  <c r="B1341" i="18"/>
  <c r="F1340" i="18"/>
  <c r="D1340" i="18"/>
  <c r="B1340" i="18"/>
  <c r="F1339" i="18"/>
  <c r="D1339" i="18"/>
  <c r="B1339" i="18"/>
  <c r="F1338" i="18"/>
  <c r="D1338" i="18"/>
  <c r="B1338" i="18"/>
  <c r="F1337" i="18"/>
  <c r="D1337" i="18"/>
  <c r="B1337" i="18"/>
  <c r="F1336" i="18"/>
  <c r="D1336" i="18"/>
  <c r="B1336" i="18"/>
  <c r="F1335" i="18"/>
  <c r="D1335" i="18"/>
  <c r="B1335" i="18"/>
  <c r="F1334" i="18"/>
  <c r="D1334" i="18"/>
  <c r="B1334" i="18"/>
  <c r="F1333" i="18"/>
  <c r="D1333" i="18"/>
  <c r="B1333" i="18"/>
  <c r="F1332" i="18"/>
  <c r="D1332" i="18"/>
  <c r="B1332" i="18"/>
  <c r="F1331" i="18"/>
  <c r="D1331" i="18"/>
  <c r="B1331" i="18"/>
  <c r="F1330" i="18"/>
  <c r="D1330" i="18"/>
  <c r="B1330" i="18"/>
  <c r="F1329" i="18"/>
  <c r="D1329" i="18"/>
  <c r="B1329" i="18"/>
  <c r="F1328" i="18"/>
  <c r="D1328" i="18"/>
  <c r="B1328" i="18"/>
  <c r="F1327" i="18"/>
  <c r="D1327" i="18"/>
  <c r="B1327" i="18"/>
  <c r="F1326" i="18"/>
  <c r="D1326" i="18"/>
  <c r="B1326" i="18"/>
  <c r="F1325" i="18"/>
  <c r="D1325" i="18"/>
  <c r="B1325" i="18"/>
  <c r="F1324" i="18"/>
  <c r="D1324" i="18"/>
  <c r="B1324" i="18"/>
  <c r="F1323" i="18"/>
  <c r="D1323" i="18"/>
  <c r="B1323" i="18"/>
  <c r="F1322" i="18"/>
  <c r="D1322" i="18"/>
  <c r="B1322" i="18"/>
  <c r="F1321" i="18"/>
  <c r="D1321" i="18"/>
  <c r="B1321" i="18"/>
  <c r="F1320" i="18"/>
  <c r="D1320" i="18"/>
  <c r="B1320" i="18"/>
  <c r="F1319" i="18"/>
  <c r="D1319" i="18"/>
  <c r="B1319" i="18"/>
  <c r="F1318" i="18"/>
  <c r="D1318" i="18"/>
  <c r="B1318" i="18"/>
  <c r="F1317" i="18"/>
  <c r="D1317" i="18"/>
  <c r="B1317" i="18"/>
  <c r="F1316" i="18"/>
  <c r="D1316" i="18"/>
  <c r="B1316" i="18"/>
  <c r="F1315" i="18"/>
  <c r="D1315" i="18"/>
  <c r="B1315" i="18"/>
  <c r="F1314" i="18"/>
  <c r="D1314" i="18"/>
  <c r="B1314" i="18"/>
  <c r="F1313" i="18"/>
  <c r="D1313" i="18"/>
  <c r="B1313" i="18"/>
  <c r="F1312" i="18"/>
  <c r="D1312" i="18"/>
  <c r="B1312" i="18"/>
  <c r="F1311" i="18"/>
  <c r="D1311" i="18"/>
  <c r="B1311" i="18"/>
  <c r="F1310" i="18"/>
  <c r="D1310" i="18"/>
  <c r="B1310" i="18"/>
  <c r="F1309" i="18"/>
  <c r="D1309" i="18"/>
  <c r="B1309" i="18"/>
  <c r="F1308" i="18"/>
  <c r="D1308" i="18"/>
  <c r="B1308" i="18"/>
  <c r="F1307" i="18"/>
  <c r="D1307" i="18"/>
  <c r="B1307" i="18"/>
  <c r="F1306" i="18"/>
  <c r="D1306" i="18"/>
  <c r="B1306" i="18"/>
  <c r="F1305" i="18"/>
  <c r="D1305" i="18"/>
  <c r="B1305" i="18"/>
  <c r="F1304" i="18"/>
  <c r="D1304" i="18"/>
  <c r="B1304" i="18"/>
  <c r="F1303" i="18"/>
  <c r="D1303" i="18"/>
  <c r="B1303" i="18"/>
  <c r="F1302" i="18"/>
  <c r="D1302" i="18"/>
  <c r="B1302" i="18"/>
  <c r="F1301" i="18"/>
  <c r="D1301" i="18"/>
  <c r="B1301" i="18"/>
  <c r="F1300" i="18"/>
  <c r="D1300" i="18"/>
  <c r="B1300" i="18"/>
  <c r="F1299" i="18"/>
  <c r="D1299" i="18"/>
  <c r="B1299" i="18"/>
  <c r="F1298" i="18"/>
  <c r="D1298" i="18"/>
  <c r="B1298" i="18"/>
  <c r="F1297" i="18"/>
  <c r="D1297" i="18"/>
  <c r="B1297" i="18"/>
  <c r="F1296" i="18"/>
  <c r="D1296" i="18"/>
  <c r="B1296" i="18"/>
  <c r="F1295" i="18"/>
  <c r="D1295" i="18"/>
  <c r="B1295" i="18"/>
  <c r="F1294" i="18"/>
  <c r="D1294" i="18"/>
  <c r="B1294" i="18"/>
  <c r="F1293" i="18"/>
  <c r="D1293" i="18"/>
  <c r="B1293" i="18"/>
  <c r="F1292" i="18"/>
  <c r="D1292" i="18"/>
  <c r="B1292" i="18"/>
  <c r="F1291" i="18"/>
  <c r="D1291" i="18"/>
  <c r="B1291" i="18"/>
  <c r="F1290" i="18"/>
  <c r="D1290" i="18"/>
  <c r="B1290" i="18"/>
  <c r="F1289" i="18"/>
  <c r="D1289" i="18"/>
  <c r="B1289" i="18"/>
  <c r="F1288" i="18"/>
  <c r="D1288" i="18"/>
  <c r="B1288" i="18"/>
  <c r="F1287" i="18"/>
  <c r="D1287" i="18"/>
  <c r="B1287" i="18"/>
  <c r="F1286" i="18"/>
  <c r="D1286" i="18"/>
  <c r="B1286" i="18"/>
  <c r="F1285" i="18"/>
  <c r="D1285" i="18"/>
  <c r="B1285" i="18"/>
  <c r="F1284" i="18"/>
  <c r="D1284" i="18"/>
  <c r="B1284" i="18"/>
  <c r="F1283" i="18"/>
  <c r="D1283" i="18"/>
  <c r="B1283" i="18"/>
  <c r="F1282" i="18"/>
  <c r="D1282" i="18"/>
  <c r="B1282" i="18"/>
  <c r="F1281" i="18"/>
  <c r="D1281" i="18"/>
  <c r="B1281" i="18"/>
  <c r="F1280" i="18"/>
  <c r="D1280" i="18"/>
  <c r="B1280" i="18"/>
  <c r="F1279" i="18"/>
  <c r="D1279" i="18"/>
  <c r="B1279" i="18"/>
  <c r="F1278" i="18"/>
  <c r="D1278" i="18"/>
  <c r="B1278" i="18"/>
  <c r="F1277" i="18"/>
  <c r="D1277" i="18"/>
  <c r="B1277" i="18"/>
  <c r="F1276" i="18"/>
  <c r="D1276" i="18"/>
  <c r="B1276" i="18"/>
  <c r="F1275" i="18"/>
  <c r="D1275" i="18"/>
  <c r="B1275" i="18"/>
  <c r="F1274" i="18"/>
  <c r="D1274" i="18"/>
  <c r="B1274" i="18"/>
  <c r="F1273" i="18"/>
  <c r="D1273" i="18"/>
  <c r="B1273" i="18"/>
  <c r="F1272" i="18"/>
  <c r="D1272" i="18"/>
  <c r="B1272" i="18"/>
  <c r="F1271" i="18"/>
  <c r="D1271" i="18"/>
  <c r="B1271" i="18"/>
  <c r="F1270" i="18"/>
  <c r="D1270" i="18"/>
  <c r="B1270" i="18"/>
  <c r="F1269" i="18"/>
  <c r="D1269" i="18"/>
  <c r="B1269" i="18"/>
  <c r="F1268" i="18"/>
  <c r="D1268" i="18"/>
  <c r="B1268" i="18"/>
  <c r="F1267" i="18"/>
  <c r="D1267" i="18"/>
  <c r="B1267" i="18"/>
  <c r="F1266" i="18"/>
  <c r="D1266" i="18"/>
  <c r="B1266" i="18"/>
  <c r="F1265" i="18"/>
  <c r="D1265" i="18"/>
  <c r="B1265" i="18"/>
  <c r="F1264" i="18"/>
  <c r="D1264" i="18"/>
  <c r="B1264" i="18"/>
  <c r="F1263" i="18"/>
  <c r="D1263" i="18"/>
  <c r="B1263" i="18"/>
  <c r="F1262" i="18"/>
  <c r="D1262" i="18"/>
  <c r="B1262" i="18"/>
  <c r="F1261" i="18"/>
  <c r="D1261" i="18"/>
  <c r="B1261" i="18"/>
  <c r="F1260" i="18"/>
  <c r="D1260" i="18"/>
  <c r="B1260" i="18"/>
  <c r="F1259" i="18"/>
  <c r="D1259" i="18"/>
  <c r="B1259" i="18"/>
  <c r="F1258" i="18"/>
  <c r="D1258" i="18"/>
  <c r="B1258" i="18"/>
  <c r="F1257" i="18"/>
  <c r="D1257" i="18"/>
  <c r="B1257" i="18"/>
  <c r="F1256" i="18"/>
  <c r="D1256" i="18"/>
  <c r="B1256" i="18"/>
  <c r="F1255" i="18"/>
  <c r="D1255" i="18"/>
  <c r="B1255" i="18"/>
  <c r="F1254" i="18"/>
  <c r="D1254" i="18"/>
  <c r="B1254" i="18"/>
  <c r="F1253" i="18"/>
  <c r="D1253" i="18"/>
  <c r="B1253" i="18"/>
  <c r="F1252" i="18"/>
  <c r="D1252" i="18"/>
  <c r="B1252" i="18"/>
  <c r="F1251" i="18"/>
  <c r="D1251" i="18"/>
  <c r="B1251" i="18"/>
  <c r="F1250" i="18"/>
  <c r="D1250" i="18"/>
  <c r="B1250" i="18"/>
  <c r="F1249" i="18"/>
  <c r="D1249" i="18"/>
  <c r="B1249" i="18"/>
  <c r="F1248" i="18"/>
  <c r="D1248" i="18"/>
  <c r="B1248" i="18"/>
  <c r="F1247" i="18"/>
  <c r="D1247" i="18"/>
  <c r="B1247" i="18"/>
  <c r="F1246" i="18"/>
  <c r="D1246" i="18"/>
  <c r="B1246" i="18"/>
  <c r="F1245" i="18"/>
  <c r="D1245" i="18"/>
  <c r="B1245" i="18"/>
  <c r="F1244" i="18"/>
  <c r="D1244" i="18"/>
  <c r="B1244" i="18"/>
  <c r="F1243" i="18"/>
  <c r="D1243" i="18"/>
  <c r="B1243" i="18"/>
  <c r="F1242" i="18"/>
  <c r="D1242" i="18"/>
  <c r="B1242" i="18"/>
  <c r="F1241" i="18"/>
  <c r="D1241" i="18"/>
  <c r="B1241" i="18"/>
  <c r="F1240" i="18"/>
  <c r="D1240" i="18"/>
  <c r="B1240" i="18"/>
  <c r="F1239" i="18"/>
  <c r="D1239" i="18"/>
  <c r="B1239" i="18"/>
  <c r="F1238" i="18"/>
  <c r="D1238" i="18"/>
  <c r="B1238" i="18"/>
  <c r="F1237" i="18"/>
  <c r="D1237" i="18"/>
  <c r="B1237" i="18"/>
  <c r="F1236" i="18"/>
  <c r="D1236" i="18"/>
  <c r="B1236" i="18"/>
  <c r="F1235" i="18"/>
  <c r="D1235" i="18"/>
  <c r="B1235" i="18"/>
  <c r="F1234" i="18"/>
  <c r="D1234" i="18"/>
  <c r="B1234" i="18"/>
  <c r="F1233" i="18"/>
  <c r="D1233" i="18"/>
  <c r="B1233" i="18"/>
  <c r="F1232" i="18"/>
  <c r="D1232" i="18"/>
  <c r="B1232" i="18"/>
  <c r="F1231" i="18"/>
  <c r="D1231" i="18"/>
  <c r="B1231" i="18"/>
  <c r="F1230" i="18"/>
  <c r="D1230" i="18"/>
  <c r="B1230" i="18"/>
  <c r="F1229" i="18"/>
  <c r="D1229" i="18"/>
  <c r="B1229" i="18"/>
  <c r="F1228" i="18"/>
  <c r="D1228" i="18"/>
  <c r="B1228" i="18"/>
  <c r="F1227" i="18"/>
  <c r="D1227" i="18"/>
  <c r="B1227" i="18"/>
  <c r="F1226" i="18"/>
  <c r="D1226" i="18"/>
  <c r="B1226" i="18"/>
  <c r="F1225" i="18"/>
  <c r="D1225" i="18"/>
  <c r="B1225" i="18"/>
  <c r="D1224" i="18"/>
  <c r="B1224" i="18"/>
  <c r="D1223" i="18"/>
  <c r="B1223" i="18"/>
  <c r="D1222" i="18"/>
  <c r="B1222" i="18"/>
  <c r="D1221" i="18"/>
  <c r="B1221" i="18"/>
  <c r="F1220" i="18"/>
  <c r="D1220" i="18"/>
  <c r="B1220" i="18"/>
  <c r="F1219" i="18"/>
  <c r="D1219" i="18"/>
  <c r="B1219" i="18"/>
  <c r="F1218" i="18"/>
  <c r="D1218" i="18"/>
  <c r="B1218" i="18"/>
  <c r="F1217" i="18"/>
  <c r="D1217" i="18"/>
  <c r="B1217" i="18"/>
  <c r="F1216" i="18"/>
  <c r="D1216" i="18"/>
  <c r="B1216" i="18"/>
  <c r="F1215" i="18"/>
  <c r="D1215" i="18"/>
  <c r="B1215" i="18"/>
  <c r="F1214" i="18"/>
  <c r="D1214" i="18"/>
  <c r="B1214" i="18"/>
  <c r="F1213" i="18"/>
  <c r="D1213" i="18"/>
  <c r="B1213" i="18"/>
  <c r="F1212" i="18"/>
  <c r="D1212" i="18"/>
  <c r="B1212" i="18"/>
  <c r="F1211" i="18"/>
  <c r="D1211" i="18"/>
  <c r="B1211" i="18"/>
  <c r="F1210" i="18"/>
  <c r="D1210" i="18"/>
  <c r="B1210" i="18"/>
  <c r="F1209" i="18"/>
  <c r="D1209" i="18"/>
  <c r="B1209" i="18"/>
  <c r="F1208" i="18"/>
  <c r="D1208" i="18"/>
  <c r="B1208" i="18"/>
  <c r="F1207" i="18"/>
  <c r="D1207" i="18"/>
  <c r="B1207" i="18"/>
  <c r="F1206" i="18"/>
  <c r="D1206" i="18"/>
  <c r="B1206" i="18"/>
  <c r="F1205" i="18"/>
  <c r="D1205" i="18"/>
  <c r="B1205" i="18"/>
  <c r="F1204" i="18"/>
  <c r="D1204" i="18"/>
  <c r="B1204" i="18"/>
  <c r="F1203" i="18"/>
  <c r="D1203" i="18"/>
  <c r="B1203" i="18"/>
  <c r="F1202" i="18"/>
  <c r="D1202" i="18"/>
  <c r="B1202" i="18"/>
  <c r="F1201" i="18"/>
  <c r="D1201" i="18"/>
  <c r="B1201" i="18"/>
  <c r="F1200" i="18"/>
  <c r="D1200" i="18"/>
  <c r="B1200" i="18"/>
  <c r="F1199" i="18"/>
  <c r="D1199" i="18"/>
  <c r="B1199" i="18"/>
  <c r="F1198" i="18"/>
  <c r="D1198" i="18"/>
  <c r="B1198" i="18"/>
  <c r="F1197" i="18"/>
  <c r="D1197" i="18"/>
  <c r="B1197" i="18"/>
  <c r="F1196" i="18"/>
  <c r="D1196" i="18"/>
  <c r="B1196" i="18"/>
  <c r="F1195" i="18"/>
  <c r="D1195" i="18"/>
  <c r="B1195" i="18"/>
  <c r="F1194" i="18"/>
  <c r="D1194" i="18"/>
  <c r="B1194" i="18"/>
  <c r="F1193" i="18"/>
  <c r="D1193" i="18"/>
  <c r="B1193" i="18"/>
  <c r="F1192" i="18"/>
  <c r="D1192" i="18"/>
  <c r="B1192" i="18"/>
  <c r="F1191" i="18"/>
  <c r="D1191" i="18"/>
  <c r="B1191" i="18"/>
  <c r="F1190" i="18"/>
  <c r="D1190" i="18"/>
  <c r="B1190" i="18"/>
  <c r="F1189" i="18"/>
  <c r="D1189" i="18"/>
  <c r="B1189" i="18"/>
  <c r="F1188" i="18"/>
  <c r="D1188" i="18"/>
  <c r="B1188" i="18"/>
  <c r="F1187" i="18"/>
  <c r="D1187" i="18"/>
  <c r="B1187" i="18"/>
  <c r="F1186" i="18"/>
  <c r="D1186" i="18"/>
  <c r="B1186" i="18"/>
  <c r="F1185" i="18"/>
  <c r="D1185" i="18"/>
  <c r="B1185" i="18"/>
  <c r="F1184" i="18"/>
  <c r="D1184" i="18"/>
  <c r="B1184" i="18"/>
  <c r="F1183" i="18"/>
  <c r="D1183" i="18"/>
  <c r="B1183" i="18"/>
  <c r="F1182" i="18"/>
  <c r="D1182" i="18"/>
  <c r="B1182" i="18"/>
  <c r="F1181" i="18"/>
  <c r="D1181" i="18"/>
  <c r="B1181" i="18"/>
  <c r="F1180" i="18"/>
  <c r="D1180" i="18"/>
  <c r="B1180" i="18"/>
  <c r="F1179" i="18"/>
  <c r="D1179" i="18"/>
  <c r="B1179" i="18"/>
  <c r="F1178" i="18"/>
  <c r="D1178" i="18"/>
  <c r="B1178" i="18"/>
  <c r="F1177" i="18"/>
  <c r="D1177" i="18"/>
  <c r="B1177" i="18"/>
  <c r="F1176" i="18"/>
  <c r="D1176" i="18"/>
  <c r="B1176" i="18"/>
  <c r="F1175" i="18"/>
  <c r="D1175" i="18"/>
  <c r="B1175" i="18"/>
  <c r="F1174" i="18"/>
  <c r="D1174" i="18"/>
  <c r="B1174" i="18"/>
  <c r="F1173" i="18"/>
  <c r="D1173" i="18"/>
  <c r="B1173" i="18"/>
  <c r="F1172" i="18"/>
  <c r="D1172" i="18"/>
  <c r="B1172" i="18"/>
  <c r="F1171" i="18"/>
  <c r="D1171" i="18"/>
  <c r="B1171" i="18"/>
  <c r="F1170" i="18"/>
  <c r="D1170" i="18"/>
  <c r="B1170" i="18"/>
  <c r="F1169" i="18"/>
  <c r="D1169" i="18"/>
  <c r="B1169" i="18"/>
  <c r="F1168" i="18"/>
  <c r="D1168" i="18"/>
  <c r="B1168" i="18"/>
  <c r="F1167" i="18"/>
  <c r="D1167" i="18"/>
  <c r="B1167" i="18"/>
  <c r="F1166" i="18"/>
  <c r="D1166" i="18"/>
  <c r="B1166" i="18"/>
  <c r="F1165" i="18"/>
  <c r="D1165" i="18"/>
  <c r="B1165" i="18"/>
  <c r="F1164" i="18"/>
  <c r="D1164" i="18"/>
  <c r="B1164" i="18"/>
  <c r="F1163" i="18"/>
  <c r="D1163" i="18"/>
  <c r="B1163" i="18"/>
  <c r="F1162" i="18"/>
  <c r="D1162" i="18"/>
  <c r="B1162" i="18"/>
  <c r="F1161" i="18"/>
  <c r="D1161" i="18"/>
  <c r="B1161" i="18"/>
  <c r="F1160" i="18"/>
  <c r="D1160" i="18"/>
  <c r="B1160" i="18"/>
  <c r="F1159" i="18"/>
  <c r="D1159" i="18"/>
  <c r="B1159" i="18"/>
  <c r="F1158" i="18"/>
  <c r="D1158" i="18"/>
  <c r="B1158" i="18"/>
  <c r="F1157" i="18"/>
  <c r="D1157" i="18"/>
  <c r="B1157" i="18"/>
  <c r="F1156" i="18"/>
  <c r="D1156" i="18"/>
  <c r="B1156" i="18"/>
  <c r="F1155" i="18"/>
  <c r="D1155" i="18"/>
  <c r="B1155" i="18"/>
  <c r="F1154" i="18"/>
  <c r="D1154" i="18"/>
  <c r="B1154" i="18"/>
  <c r="F1153" i="18"/>
  <c r="D1153" i="18"/>
  <c r="B1153" i="18"/>
  <c r="F1152" i="18"/>
  <c r="D1152" i="18"/>
  <c r="B1152" i="18"/>
  <c r="F1151" i="18"/>
  <c r="D1151" i="18"/>
  <c r="B1151" i="18"/>
  <c r="F1150" i="18"/>
  <c r="D1150" i="18"/>
  <c r="B1150" i="18"/>
  <c r="F1149" i="18"/>
  <c r="D1149" i="18"/>
  <c r="B1149" i="18"/>
  <c r="F1148" i="18"/>
  <c r="D1148" i="18"/>
  <c r="B1148" i="18"/>
  <c r="F1147" i="18"/>
  <c r="D1147" i="18"/>
  <c r="B1147" i="18"/>
  <c r="F1146" i="18"/>
  <c r="D1146" i="18"/>
  <c r="B1146" i="18"/>
  <c r="F1145" i="18"/>
  <c r="D1145" i="18"/>
  <c r="B1145" i="18"/>
  <c r="F1144" i="18"/>
  <c r="D1144" i="18"/>
  <c r="B1144" i="18"/>
  <c r="F1143" i="18"/>
  <c r="D1143" i="18"/>
  <c r="B1143" i="18"/>
  <c r="F1142" i="18"/>
  <c r="D1142" i="18"/>
  <c r="B1142" i="18"/>
  <c r="F1141" i="18"/>
  <c r="D1141" i="18"/>
  <c r="B1141" i="18"/>
  <c r="F1140" i="18"/>
  <c r="D1140" i="18"/>
  <c r="B1140" i="18"/>
  <c r="F1139" i="18"/>
  <c r="D1139" i="18"/>
  <c r="B1139" i="18"/>
  <c r="F1138" i="18"/>
  <c r="D1138" i="18"/>
  <c r="B1138" i="18"/>
  <c r="F1137" i="18"/>
  <c r="D1137" i="18"/>
  <c r="B1137" i="18"/>
  <c r="F1136" i="18"/>
  <c r="D1136" i="18"/>
  <c r="B1136" i="18"/>
  <c r="F1135" i="18"/>
  <c r="D1135" i="18"/>
  <c r="B1135" i="18"/>
  <c r="F1134" i="18"/>
  <c r="D1134" i="18"/>
  <c r="B1134" i="18"/>
  <c r="F1133" i="18"/>
  <c r="D1133" i="18"/>
  <c r="B1133" i="18"/>
  <c r="F1132" i="18"/>
  <c r="D1132" i="18"/>
  <c r="B1132" i="18"/>
  <c r="F1131" i="18"/>
  <c r="D1131" i="18"/>
  <c r="B1131" i="18"/>
  <c r="F1130" i="18"/>
  <c r="D1130" i="18"/>
  <c r="B1130" i="18"/>
  <c r="F1129" i="18"/>
  <c r="D1129" i="18"/>
  <c r="B1129" i="18"/>
  <c r="F1128" i="18"/>
  <c r="D1128" i="18"/>
  <c r="B1128" i="18"/>
  <c r="F1127" i="18"/>
  <c r="D1127" i="18"/>
  <c r="B1127" i="18"/>
  <c r="F1126" i="18"/>
  <c r="D1126" i="18"/>
  <c r="B1126" i="18"/>
  <c r="F1125" i="18"/>
  <c r="D1125" i="18"/>
  <c r="B1125" i="18"/>
  <c r="F1124" i="18"/>
  <c r="D1124" i="18"/>
  <c r="B1124" i="18"/>
  <c r="F1123" i="18"/>
  <c r="D1123" i="18"/>
  <c r="B1123" i="18"/>
  <c r="F1122" i="18"/>
  <c r="D1122" i="18"/>
  <c r="B1122" i="18"/>
  <c r="F1121" i="18"/>
  <c r="D1121" i="18"/>
  <c r="B1121" i="18"/>
  <c r="F1120" i="18"/>
  <c r="D1120" i="18"/>
  <c r="B1120" i="18"/>
  <c r="F1119" i="18"/>
  <c r="D1119" i="18"/>
  <c r="B1119" i="18"/>
  <c r="F1118" i="18"/>
  <c r="D1118" i="18"/>
  <c r="B1118" i="18"/>
  <c r="F1117" i="18"/>
  <c r="D1117" i="18"/>
  <c r="B1117" i="18"/>
  <c r="F1116" i="18"/>
  <c r="D1116" i="18"/>
  <c r="B1116" i="18"/>
  <c r="F1115" i="18"/>
  <c r="D1115" i="18"/>
  <c r="B1115" i="18"/>
  <c r="F1114" i="18"/>
  <c r="D1114" i="18"/>
  <c r="B1114" i="18"/>
  <c r="F1113" i="18"/>
  <c r="D1113" i="18"/>
  <c r="B1113" i="18"/>
  <c r="F1112" i="18"/>
  <c r="D1112" i="18"/>
  <c r="B1112" i="18"/>
  <c r="F1111" i="18"/>
  <c r="D1111" i="18"/>
  <c r="B1111" i="18"/>
  <c r="F1110" i="18"/>
  <c r="D1110" i="18"/>
  <c r="B1110" i="18"/>
  <c r="F1109" i="18"/>
  <c r="D1109" i="18"/>
  <c r="B1109" i="18"/>
  <c r="F1108" i="18"/>
  <c r="D1108" i="18"/>
  <c r="B1108" i="18"/>
  <c r="F1107" i="18"/>
  <c r="D1107" i="18"/>
  <c r="B1107" i="18"/>
  <c r="F1106" i="18"/>
  <c r="D1106" i="18"/>
  <c r="B1106" i="18"/>
  <c r="F1105" i="18"/>
  <c r="D1105" i="18"/>
  <c r="B1105" i="18"/>
  <c r="F1104" i="18"/>
  <c r="D1104" i="18"/>
  <c r="B1104" i="18"/>
  <c r="F1103" i="18"/>
  <c r="D1103" i="18"/>
  <c r="B1103" i="18"/>
  <c r="F1102" i="18"/>
  <c r="D1102" i="18"/>
  <c r="B1102" i="18"/>
  <c r="F1101" i="18"/>
  <c r="D1101" i="18"/>
  <c r="B1101" i="18"/>
  <c r="F1100" i="18"/>
  <c r="D1100" i="18"/>
  <c r="B1100" i="18"/>
  <c r="F1099" i="18"/>
  <c r="D1099" i="18"/>
  <c r="B1099" i="18"/>
  <c r="F1098" i="18"/>
  <c r="D1098" i="18"/>
  <c r="B1098" i="18"/>
  <c r="F1097" i="18"/>
  <c r="D1097" i="18"/>
  <c r="B1097" i="18"/>
  <c r="F1096" i="18"/>
  <c r="D1096" i="18"/>
  <c r="B1096" i="18"/>
  <c r="F1095" i="18"/>
  <c r="D1095" i="18"/>
  <c r="B1095" i="18"/>
  <c r="F1094" i="18"/>
  <c r="D1094" i="18"/>
  <c r="B1094" i="18"/>
  <c r="F1093" i="18"/>
  <c r="D1093" i="18"/>
  <c r="B1093" i="18"/>
  <c r="F1092" i="18"/>
  <c r="D1092" i="18"/>
  <c r="B1092" i="18"/>
  <c r="F1091" i="18"/>
  <c r="D1091" i="18"/>
  <c r="B1091" i="18"/>
  <c r="F1090" i="18"/>
  <c r="D1090" i="18"/>
  <c r="B1090" i="18"/>
  <c r="F1089" i="18"/>
  <c r="D1089" i="18"/>
  <c r="B1089" i="18"/>
  <c r="F1088" i="18"/>
  <c r="D1088" i="18"/>
  <c r="B1088" i="18"/>
  <c r="F1087" i="18"/>
  <c r="D1087" i="18"/>
  <c r="B1087" i="18"/>
  <c r="F1086" i="18"/>
  <c r="D1086" i="18"/>
  <c r="B1086" i="18"/>
  <c r="F1085" i="18"/>
  <c r="D1085" i="18"/>
  <c r="B1085" i="18"/>
  <c r="F1084" i="18"/>
  <c r="D1084" i="18"/>
  <c r="B1084" i="18"/>
  <c r="F1083" i="18"/>
  <c r="D1083" i="18"/>
  <c r="B1083" i="18"/>
  <c r="F1082" i="18"/>
  <c r="D1082" i="18"/>
  <c r="B1082" i="18"/>
  <c r="F1081" i="18"/>
  <c r="D1081" i="18"/>
  <c r="B1081" i="18"/>
  <c r="F1080" i="18"/>
  <c r="D1080" i="18"/>
  <c r="B1080" i="18"/>
  <c r="F1079" i="18"/>
  <c r="D1079" i="18"/>
  <c r="B1079" i="18"/>
  <c r="F1078" i="18"/>
  <c r="D1078" i="18"/>
  <c r="B1078" i="18"/>
  <c r="F1077" i="18"/>
  <c r="D1077" i="18"/>
  <c r="B1077" i="18"/>
  <c r="F1076" i="18"/>
  <c r="D1076" i="18"/>
  <c r="B1076" i="18"/>
  <c r="F1075" i="18"/>
  <c r="D1075" i="18"/>
  <c r="B1075" i="18"/>
  <c r="F1074" i="18"/>
  <c r="D1074" i="18"/>
  <c r="B1074" i="18"/>
  <c r="F1073" i="18"/>
  <c r="D1073" i="18"/>
  <c r="B1073" i="18"/>
  <c r="F1072" i="18"/>
  <c r="D1072" i="18"/>
  <c r="B1072" i="18"/>
  <c r="F1071" i="18"/>
  <c r="D1071" i="18"/>
  <c r="B1071" i="18"/>
  <c r="F1070" i="18"/>
  <c r="D1070" i="18"/>
  <c r="B1070" i="18"/>
  <c r="F1069" i="18"/>
  <c r="D1069" i="18"/>
  <c r="B1069" i="18"/>
  <c r="F1068" i="18"/>
  <c r="D1068" i="18"/>
  <c r="B1068" i="18"/>
  <c r="F1067" i="18"/>
  <c r="D1067" i="18"/>
  <c r="B1067" i="18"/>
  <c r="F1066" i="18"/>
  <c r="D1066" i="18"/>
  <c r="B1066" i="18"/>
  <c r="F1065" i="18"/>
  <c r="D1065" i="18"/>
  <c r="B1065" i="18"/>
  <c r="F1064" i="18"/>
  <c r="D1064" i="18"/>
  <c r="B1064" i="18"/>
  <c r="F1063" i="18"/>
  <c r="D1063" i="18"/>
  <c r="B1063" i="18"/>
  <c r="F1062" i="18"/>
  <c r="D1062" i="18"/>
  <c r="B1062" i="18"/>
  <c r="F1061" i="18"/>
  <c r="D1061" i="18"/>
  <c r="B1061" i="18"/>
  <c r="F1060" i="18"/>
  <c r="D1060" i="18"/>
  <c r="B1060" i="18"/>
  <c r="F1059" i="18"/>
  <c r="D1059" i="18"/>
  <c r="B1059" i="18"/>
  <c r="F1058" i="18"/>
  <c r="D1058" i="18"/>
  <c r="B1058" i="18"/>
  <c r="F1057" i="18"/>
  <c r="D1057" i="18"/>
  <c r="B1057" i="18"/>
  <c r="F1056" i="18"/>
  <c r="D1056" i="18"/>
  <c r="B1056" i="18"/>
  <c r="F1055" i="18"/>
  <c r="D1055" i="18"/>
  <c r="B1055" i="18"/>
  <c r="F1054" i="18"/>
  <c r="D1054" i="18"/>
  <c r="B1054" i="18"/>
  <c r="F1053" i="18"/>
  <c r="D1053" i="18"/>
  <c r="B1053" i="18"/>
  <c r="F1052" i="18"/>
  <c r="D1052" i="18"/>
  <c r="B1052" i="18"/>
  <c r="F1051" i="18"/>
  <c r="D1051" i="18"/>
  <c r="B1051" i="18"/>
  <c r="F1050" i="18"/>
  <c r="D1050" i="18"/>
  <c r="B1050" i="18"/>
  <c r="F1049" i="18"/>
  <c r="D1049" i="18"/>
  <c r="B1049" i="18"/>
  <c r="F1048" i="18"/>
  <c r="D1048" i="18"/>
  <c r="B1048" i="18"/>
  <c r="F1047" i="18"/>
  <c r="D1047" i="18"/>
  <c r="B1047" i="18"/>
  <c r="F1046" i="18"/>
  <c r="D1046" i="18"/>
  <c r="B1046" i="18"/>
  <c r="F1045" i="18"/>
  <c r="D1045" i="18"/>
  <c r="B1045" i="18"/>
  <c r="F1044" i="18"/>
  <c r="D1044" i="18"/>
  <c r="B1044" i="18"/>
  <c r="F1043" i="18"/>
  <c r="D1043" i="18"/>
  <c r="B1043" i="18"/>
  <c r="F1042" i="18"/>
  <c r="D1042" i="18"/>
  <c r="B1042" i="18"/>
  <c r="F1041" i="18"/>
  <c r="D1041" i="18"/>
  <c r="B1041" i="18"/>
  <c r="F1040" i="18"/>
  <c r="D1040" i="18"/>
  <c r="B1040" i="18"/>
  <c r="F1039" i="18"/>
  <c r="D1039" i="18"/>
  <c r="B1039" i="18"/>
  <c r="F1038" i="18"/>
  <c r="D1038" i="18"/>
  <c r="B1038" i="18"/>
  <c r="F1037" i="18"/>
  <c r="D1037" i="18"/>
  <c r="B1037" i="18"/>
  <c r="F1036" i="18"/>
  <c r="D1036" i="18"/>
  <c r="B1036" i="18"/>
  <c r="F1035" i="18"/>
  <c r="D1035" i="18"/>
  <c r="B1035" i="18"/>
  <c r="F1034" i="18"/>
  <c r="D1034" i="18"/>
  <c r="B1034" i="18"/>
  <c r="F1033" i="18"/>
  <c r="D1033" i="18"/>
  <c r="B1033" i="18"/>
  <c r="F1032" i="18"/>
  <c r="D1032" i="18"/>
  <c r="B1032" i="18"/>
  <c r="F1031" i="18"/>
  <c r="D1031" i="18"/>
  <c r="B1031" i="18"/>
  <c r="F1030" i="18"/>
  <c r="D1030" i="18"/>
  <c r="B1030" i="18"/>
  <c r="F1029" i="18"/>
  <c r="D1029" i="18"/>
  <c r="B1029" i="18"/>
  <c r="F1028" i="18"/>
  <c r="D1028" i="18"/>
  <c r="B1028" i="18"/>
  <c r="F1027" i="18"/>
  <c r="D1027" i="18"/>
  <c r="B1027" i="18"/>
  <c r="F1026" i="18"/>
  <c r="D1026" i="18"/>
  <c r="B1026" i="18"/>
  <c r="F1025" i="18"/>
  <c r="D1025" i="18"/>
  <c r="B1025" i="18"/>
  <c r="F1024" i="18"/>
  <c r="D1024" i="18"/>
  <c r="B1024" i="18"/>
  <c r="F1023" i="18"/>
  <c r="D1023" i="18"/>
  <c r="B1023" i="18"/>
  <c r="F1022" i="18"/>
  <c r="D1022" i="18"/>
  <c r="B1022" i="18"/>
  <c r="F1021" i="18"/>
  <c r="D1021" i="18"/>
  <c r="B1021" i="18"/>
  <c r="F1020" i="18"/>
  <c r="D1020" i="18"/>
  <c r="B1020" i="18"/>
  <c r="F1019" i="18"/>
  <c r="D1019" i="18"/>
  <c r="B1019" i="18"/>
  <c r="F1018" i="18"/>
  <c r="D1018" i="18"/>
  <c r="B1018" i="18"/>
  <c r="F1017" i="18"/>
  <c r="D1017" i="18"/>
  <c r="B1017" i="18"/>
  <c r="F1016" i="18"/>
  <c r="D1016" i="18"/>
  <c r="B1016" i="18"/>
  <c r="F1015" i="18"/>
  <c r="D1015" i="18"/>
  <c r="B1015" i="18"/>
  <c r="F1014" i="18"/>
  <c r="D1014" i="18"/>
  <c r="B1014" i="18"/>
  <c r="F1013" i="18"/>
  <c r="D1013" i="18"/>
  <c r="B1013" i="18"/>
  <c r="F1012" i="18"/>
  <c r="D1012" i="18"/>
  <c r="B1012" i="18"/>
  <c r="F1011" i="18"/>
  <c r="D1011" i="18"/>
  <c r="B1011" i="18"/>
  <c r="F1010" i="18"/>
  <c r="D1010" i="18"/>
  <c r="B1010" i="18"/>
  <c r="F1009" i="18"/>
  <c r="D1009" i="18"/>
  <c r="B1009" i="18"/>
  <c r="F1008" i="18"/>
  <c r="D1008" i="18"/>
  <c r="B1008" i="18"/>
  <c r="F1007" i="18"/>
  <c r="D1007" i="18"/>
  <c r="B1007" i="18"/>
  <c r="F1006" i="18"/>
  <c r="D1006" i="18"/>
  <c r="B1006" i="18"/>
  <c r="F1005" i="18"/>
  <c r="D1005" i="18"/>
  <c r="B1005" i="18"/>
  <c r="F1004" i="18"/>
  <c r="D1004" i="18"/>
  <c r="B1004" i="18"/>
  <c r="F1003" i="18"/>
  <c r="D1003" i="18"/>
  <c r="B1003" i="18"/>
  <c r="F1002" i="18"/>
  <c r="D1002" i="18"/>
  <c r="B1002" i="18"/>
  <c r="F1001" i="18"/>
  <c r="D1001" i="18"/>
  <c r="B1001" i="18"/>
  <c r="F1000" i="18"/>
  <c r="D1000" i="18"/>
  <c r="B1000" i="18"/>
  <c r="F999" i="18"/>
  <c r="D999" i="18"/>
  <c r="B999" i="18"/>
  <c r="F998" i="18"/>
  <c r="D998" i="18"/>
  <c r="B998" i="18"/>
  <c r="F997" i="18"/>
  <c r="D997" i="18"/>
  <c r="B997" i="18"/>
  <c r="F996" i="18"/>
  <c r="D996" i="18"/>
  <c r="B996" i="18"/>
  <c r="F995" i="18"/>
  <c r="D995" i="18"/>
  <c r="B995" i="18"/>
  <c r="F994" i="18"/>
  <c r="D994" i="18"/>
  <c r="B994" i="18"/>
  <c r="F993" i="18"/>
  <c r="D993" i="18"/>
  <c r="B993" i="18"/>
  <c r="F992" i="18"/>
  <c r="D992" i="18"/>
  <c r="B992" i="18"/>
  <c r="F991" i="18"/>
  <c r="D991" i="18"/>
  <c r="B991" i="18"/>
  <c r="F990" i="18"/>
  <c r="D990" i="18"/>
  <c r="B990" i="18"/>
  <c r="F989" i="18"/>
  <c r="D989" i="18"/>
  <c r="B989" i="18"/>
  <c r="F988" i="18"/>
  <c r="D988" i="18"/>
  <c r="B988" i="18"/>
  <c r="F987" i="18"/>
  <c r="D987" i="18"/>
  <c r="B987" i="18"/>
  <c r="F986" i="18"/>
  <c r="D986" i="18"/>
  <c r="B986" i="18"/>
  <c r="F985" i="18"/>
  <c r="D985" i="18"/>
  <c r="B985" i="18"/>
  <c r="F984" i="18"/>
  <c r="D984" i="18"/>
  <c r="B984" i="18"/>
  <c r="F983" i="18"/>
  <c r="D983" i="18"/>
  <c r="B983" i="18"/>
  <c r="F982" i="18"/>
  <c r="D982" i="18"/>
  <c r="B982" i="18"/>
  <c r="F981" i="18"/>
  <c r="D981" i="18"/>
  <c r="B981" i="18"/>
  <c r="F980" i="18"/>
  <c r="D980" i="18"/>
  <c r="B980" i="18"/>
  <c r="F979" i="18"/>
  <c r="D979" i="18"/>
  <c r="B979" i="18"/>
  <c r="F978" i="18"/>
  <c r="D978" i="18"/>
  <c r="B978" i="18"/>
  <c r="F977" i="18"/>
  <c r="D977" i="18"/>
  <c r="B977" i="18"/>
  <c r="F976" i="18"/>
  <c r="D976" i="18"/>
  <c r="B976" i="18"/>
  <c r="F975" i="18"/>
  <c r="D975" i="18"/>
  <c r="B975" i="18"/>
  <c r="F974" i="18"/>
  <c r="D974" i="18"/>
  <c r="B974" i="18"/>
  <c r="F973" i="18"/>
  <c r="D973" i="18"/>
  <c r="B973" i="18"/>
  <c r="F972" i="18"/>
  <c r="D972" i="18"/>
  <c r="B972" i="18"/>
  <c r="F971" i="18"/>
  <c r="D971" i="18"/>
  <c r="B971" i="18"/>
  <c r="F970" i="18"/>
  <c r="D970" i="18"/>
  <c r="B970" i="18"/>
  <c r="F969" i="18"/>
  <c r="D969" i="18"/>
  <c r="B969" i="18"/>
  <c r="F968" i="18"/>
  <c r="D968" i="18"/>
  <c r="B968" i="18"/>
  <c r="F967" i="18"/>
  <c r="D967" i="18"/>
  <c r="B967" i="18"/>
  <c r="F966" i="18"/>
  <c r="D966" i="18"/>
  <c r="B966" i="18"/>
  <c r="F965" i="18"/>
  <c r="D965" i="18"/>
  <c r="B965" i="18"/>
  <c r="F964" i="18"/>
  <c r="D964" i="18"/>
  <c r="B964" i="18"/>
  <c r="F963" i="18"/>
  <c r="D963" i="18"/>
  <c r="B963" i="18"/>
  <c r="F962" i="18"/>
  <c r="D962" i="18"/>
  <c r="B962" i="18"/>
  <c r="F961" i="18"/>
  <c r="D961" i="18"/>
  <c r="B961" i="18"/>
  <c r="F960" i="18"/>
  <c r="D960" i="18"/>
  <c r="B960" i="18"/>
  <c r="F959" i="18"/>
  <c r="D959" i="18"/>
  <c r="B959" i="18"/>
  <c r="F958" i="18"/>
  <c r="D958" i="18"/>
  <c r="B958" i="18"/>
  <c r="F957" i="18"/>
  <c r="D957" i="18"/>
  <c r="B957" i="18"/>
  <c r="F956" i="18"/>
  <c r="D956" i="18"/>
  <c r="B956" i="18"/>
  <c r="F955" i="18"/>
  <c r="D955" i="18"/>
  <c r="B955" i="18"/>
  <c r="F954" i="18"/>
  <c r="D954" i="18"/>
  <c r="B954" i="18"/>
  <c r="F953" i="18"/>
  <c r="D953" i="18"/>
  <c r="B953" i="18"/>
  <c r="F952" i="18"/>
  <c r="D952" i="18"/>
  <c r="B952" i="18"/>
  <c r="F951" i="18"/>
  <c r="D951" i="18"/>
  <c r="B951" i="18"/>
  <c r="F950" i="18"/>
  <c r="D950" i="18"/>
  <c r="B950" i="18"/>
  <c r="F949" i="18"/>
  <c r="D949" i="18"/>
  <c r="B949" i="18"/>
  <c r="F948" i="18"/>
  <c r="D948" i="18"/>
  <c r="B948" i="18"/>
  <c r="F947" i="18"/>
  <c r="D947" i="18"/>
  <c r="B947" i="18"/>
  <c r="F946" i="18"/>
  <c r="D946" i="18"/>
  <c r="B946" i="18"/>
  <c r="F945" i="18"/>
  <c r="D945" i="18"/>
  <c r="B945" i="18"/>
  <c r="F944" i="18"/>
  <c r="D944" i="18"/>
  <c r="B944" i="18"/>
  <c r="F943" i="18"/>
  <c r="D943" i="18"/>
  <c r="B943" i="18"/>
  <c r="F942" i="18"/>
  <c r="D942" i="18"/>
  <c r="B942" i="18"/>
  <c r="F941" i="18"/>
  <c r="D941" i="18"/>
  <c r="B941" i="18"/>
  <c r="F940" i="18"/>
  <c r="D940" i="18"/>
  <c r="B940" i="18"/>
  <c r="F939" i="18"/>
  <c r="D939" i="18"/>
  <c r="B939" i="18"/>
  <c r="F938" i="18"/>
  <c r="D938" i="18"/>
  <c r="B938" i="18"/>
  <c r="F937" i="18"/>
  <c r="D937" i="18"/>
  <c r="B937" i="18"/>
  <c r="F936" i="18"/>
  <c r="D936" i="18"/>
  <c r="B936" i="18"/>
  <c r="F935" i="18"/>
  <c r="D935" i="18"/>
  <c r="B935" i="18"/>
  <c r="F934" i="18"/>
  <c r="D934" i="18"/>
  <c r="B934" i="18"/>
  <c r="F933" i="18"/>
  <c r="D933" i="18"/>
  <c r="B933" i="18"/>
  <c r="F932" i="18"/>
  <c r="D932" i="18"/>
  <c r="B932" i="18"/>
  <c r="F931" i="18"/>
  <c r="D931" i="18"/>
  <c r="B931" i="18"/>
  <c r="F930" i="18"/>
  <c r="D930" i="18"/>
  <c r="B930" i="18"/>
  <c r="F929" i="18"/>
  <c r="D929" i="18"/>
  <c r="B929" i="18"/>
  <c r="F928" i="18"/>
  <c r="D928" i="18"/>
  <c r="B928" i="18"/>
  <c r="F927" i="18"/>
  <c r="D927" i="18"/>
  <c r="B927" i="18"/>
  <c r="F926" i="18"/>
  <c r="D926" i="18"/>
  <c r="B926" i="18"/>
  <c r="F925" i="18"/>
  <c r="D925" i="18"/>
  <c r="B925" i="18"/>
  <c r="F924" i="18"/>
  <c r="D924" i="18"/>
  <c r="B924" i="18"/>
  <c r="F923" i="18"/>
  <c r="D923" i="18"/>
  <c r="B923" i="18"/>
  <c r="F922" i="18"/>
  <c r="D922" i="18"/>
  <c r="B922" i="18"/>
  <c r="F921" i="18"/>
  <c r="D921" i="18"/>
  <c r="B921" i="18"/>
  <c r="F920" i="18"/>
  <c r="D920" i="18"/>
  <c r="B920" i="18"/>
  <c r="F919" i="18"/>
  <c r="D919" i="18"/>
  <c r="B919" i="18"/>
  <c r="F918" i="18"/>
  <c r="D918" i="18"/>
  <c r="B918" i="18"/>
  <c r="F917" i="18"/>
  <c r="D917" i="18"/>
  <c r="B917" i="18"/>
  <c r="F916" i="18"/>
  <c r="D916" i="18"/>
  <c r="B916" i="18"/>
  <c r="F915" i="18"/>
  <c r="D915" i="18"/>
  <c r="B915" i="18"/>
  <c r="F914" i="18"/>
  <c r="D914" i="18"/>
  <c r="B914" i="18"/>
  <c r="F913" i="18"/>
  <c r="D913" i="18"/>
  <c r="B913" i="18"/>
  <c r="F912" i="18"/>
  <c r="D912" i="18"/>
  <c r="B912" i="18"/>
  <c r="F911" i="18"/>
  <c r="D911" i="18"/>
  <c r="B911" i="18"/>
  <c r="F910" i="18"/>
  <c r="D910" i="18"/>
  <c r="B910" i="18"/>
  <c r="F909" i="18"/>
  <c r="D909" i="18"/>
  <c r="B909" i="18"/>
  <c r="F908" i="18"/>
  <c r="D908" i="18"/>
  <c r="B908" i="18"/>
  <c r="F907" i="18"/>
  <c r="D907" i="18"/>
  <c r="B907" i="18"/>
  <c r="F906" i="18"/>
  <c r="D906" i="18"/>
  <c r="B906" i="18"/>
  <c r="F905" i="18"/>
  <c r="D905" i="18"/>
  <c r="B905" i="18"/>
  <c r="F904" i="18"/>
  <c r="D904" i="18"/>
  <c r="B904" i="18"/>
  <c r="F903" i="18"/>
  <c r="D903" i="18"/>
  <c r="B903" i="18"/>
  <c r="F902" i="18"/>
  <c r="D902" i="18"/>
  <c r="B902" i="18"/>
  <c r="F901" i="18"/>
  <c r="D901" i="18"/>
  <c r="B901" i="18"/>
  <c r="F900" i="18"/>
  <c r="D900" i="18"/>
  <c r="B900" i="18"/>
  <c r="F899" i="18"/>
  <c r="D899" i="18"/>
  <c r="B899" i="18"/>
  <c r="F898" i="18"/>
  <c r="D898" i="18"/>
  <c r="B898" i="18"/>
  <c r="F897" i="18"/>
  <c r="D897" i="18"/>
  <c r="B897" i="18"/>
  <c r="F896" i="18"/>
  <c r="D896" i="18"/>
  <c r="B896" i="18"/>
  <c r="F895" i="18"/>
  <c r="D895" i="18"/>
  <c r="B895" i="18"/>
  <c r="F894" i="18"/>
  <c r="D894" i="18"/>
  <c r="B894" i="18"/>
  <c r="F893" i="18"/>
  <c r="D893" i="18"/>
  <c r="B893" i="18"/>
  <c r="F892" i="18"/>
  <c r="D892" i="18"/>
  <c r="B892" i="18"/>
  <c r="F891" i="18"/>
  <c r="D891" i="18"/>
  <c r="B891" i="18"/>
  <c r="F890" i="18"/>
  <c r="D890" i="18"/>
  <c r="B890" i="18"/>
  <c r="F889" i="18"/>
  <c r="D889" i="18"/>
  <c r="B889" i="18"/>
  <c r="F888" i="18"/>
  <c r="D888" i="18"/>
  <c r="B888" i="18"/>
  <c r="F887" i="18"/>
  <c r="D887" i="18"/>
  <c r="B887" i="18"/>
  <c r="F886" i="18"/>
  <c r="D886" i="18"/>
  <c r="B886" i="18"/>
  <c r="F885" i="18"/>
  <c r="D885" i="18"/>
  <c r="B885" i="18"/>
  <c r="F884" i="18"/>
  <c r="D884" i="18"/>
  <c r="B884" i="18"/>
  <c r="F883" i="18"/>
  <c r="D883" i="18"/>
  <c r="B883" i="18"/>
  <c r="F882" i="18"/>
  <c r="D882" i="18"/>
  <c r="B882" i="18"/>
  <c r="F881" i="18"/>
  <c r="D881" i="18"/>
  <c r="B881" i="18"/>
  <c r="F880" i="18"/>
  <c r="D880" i="18"/>
  <c r="B880" i="18"/>
  <c r="F879" i="18"/>
  <c r="D879" i="18"/>
  <c r="B879" i="18"/>
  <c r="F878" i="18"/>
  <c r="D878" i="18"/>
  <c r="B878" i="18"/>
  <c r="F877" i="18"/>
  <c r="D877" i="18"/>
  <c r="B877" i="18"/>
  <c r="F876" i="18"/>
  <c r="D876" i="18"/>
  <c r="B876" i="18"/>
  <c r="F875" i="18"/>
  <c r="D875" i="18"/>
  <c r="B875" i="18"/>
  <c r="F874" i="18"/>
  <c r="D874" i="18"/>
  <c r="B874" i="18"/>
  <c r="F873" i="18"/>
  <c r="D873" i="18"/>
  <c r="B873" i="18"/>
  <c r="F872" i="18"/>
  <c r="D872" i="18"/>
  <c r="B872" i="18"/>
  <c r="F871" i="18"/>
  <c r="D871" i="18"/>
  <c r="B871" i="18"/>
  <c r="F870" i="18"/>
  <c r="D870" i="18"/>
  <c r="B870" i="18"/>
  <c r="F869" i="18"/>
  <c r="D869" i="18"/>
  <c r="B869" i="18"/>
  <c r="F868" i="18"/>
  <c r="D868" i="18"/>
  <c r="B868" i="18"/>
  <c r="F867" i="18"/>
  <c r="D867" i="18"/>
  <c r="B867" i="18"/>
  <c r="F866" i="18"/>
  <c r="D866" i="18"/>
  <c r="B866" i="18"/>
  <c r="F865" i="18"/>
  <c r="D865" i="18"/>
  <c r="B865" i="18"/>
  <c r="F864" i="18"/>
  <c r="D864" i="18"/>
  <c r="B864" i="18"/>
  <c r="F863" i="18"/>
  <c r="D863" i="18"/>
  <c r="B863" i="18"/>
  <c r="F862" i="18"/>
  <c r="D862" i="18"/>
  <c r="B862" i="18"/>
  <c r="F861" i="18"/>
  <c r="D861" i="18"/>
  <c r="B861" i="18"/>
  <c r="F860" i="18"/>
  <c r="D860" i="18"/>
  <c r="B860" i="18"/>
  <c r="F859" i="18"/>
  <c r="D859" i="18"/>
  <c r="B859" i="18"/>
  <c r="F858" i="18"/>
  <c r="D858" i="18"/>
  <c r="B858" i="18"/>
  <c r="F857" i="18"/>
  <c r="D857" i="18"/>
  <c r="B857" i="18"/>
  <c r="F856" i="18"/>
  <c r="D856" i="18"/>
  <c r="B856" i="18"/>
  <c r="F855" i="18"/>
  <c r="D855" i="18"/>
  <c r="B855" i="18"/>
  <c r="F854" i="18"/>
  <c r="D854" i="18"/>
  <c r="B854" i="18"/>
  <c r="F853" i="18"/>
  <c r="D853" i="18"/>
  <c r="B853" i="18"/>
  <c r="F852" i="18"/>
  <c r="D852" i="18"/>
  <c r="B852" i="18"/>
  <c r="F851" i="18"/>
  <c r="D851" i="18"/>
  <c r="B851" i="18"/>
  <c r="F850" i="18"/>
  <c r="D850" i="18"/>
  <c r="B850" i="18"/>
  <c r="F849" i="18"/>
  <c r="D849" i="18"/>
  <c r="B849" i="18"/>
  <c r="F848" i="18"/>
  <c r="D848" i="18"/>
  <c r="B848" i="18"/>
  <c r="F847" i="18"/>
  <c r="D847" i="18"/>
  <c r="B847" i="18"/>
  <c r="F846" i="18"/>
  <c r="D846" i="18"/>
  <c r="B846" i="18"/>
  <c r="F845" i="18"/>
  <c r="D845" i="18"/>
  <c r="B845" i="18"/>
  <c r="F844" i="18"/>
  <c r="D844" i="18"/>
  <c r="B844" i="18"/>
  <c r="F843" i="18"/>
  <c r="D843" i="18"/>
  <c r="B843" i="18"/>
  <c r="F842" i="18"/>
  <c r="D842" i="18"/>
  <c r="B842" i="18"/>
  <c r="F841" i="18"/>
  <c r="D841" i="18"/>
  <c r="B841" i="18"/>
  <c r="F840" i="18"/>
  <c r="D840" i="18"/>
  <c r="B840" i="18"/>
  <c r="F839" i="18"/>
  <c r="D839" i="18"/>
  <c r="B839" i="18"/>
  <c r="F838" i="18"/>
  <c r="D838" i="18"/>
  <c r="B838" i="18"/>
  <c r="F837" i="18"/>
  <c r="D837" i="18"/>
  <c r="B837" i="18"/>
  <c r="F836" i="18"/>
  <c r="D836" i="18"/>
  <c r="B836" i="18"/>
  <c r="F835" i="18"/>
  <c r="D835" i="18"/>
  <c r="B835" i="18"/>
  <c r="F834" i="18"/>
  <c r="D834" i="18"/>
  <c r="B834" i="18"/>
  <c r="F833" i="18"/>
  <c r="D833" i="18"/>
  <c r="B833" i="18"/>
  <c r="F832" i="18"/>
  <c r="D832" i="18"/>
  <c r="B832" i="18"/>
  <c r="F831" i="18"/>
  <c r="D831" i="18"/>
  <c r="B831" i="18"/>
  <c r="F830" i="18"/>
  <c r="D830" i="18"/>
  <c r="B830" i="18"/>
  <c r="F829" i="18"/>
  <c r="D829" i="18"/>
  <c r="B829" i="18"/>
  <c r="F828" i="18"/>
  <c r="D828" i="18"/>
  <c r="B828" i="18"/>
  <c r="F827" i="18"/>
  <c r="D827" i="18"/>
  <c r="B827" i="18"/>
  <c r="F826" i="18"/>
  <c r="D826" i="18"/>
  <c r="B826" i="18"/>
  <c r="F825" i="18"/>
  <c r="D825" i="18"/>
  <c r="B825" i="18"/>
  <c r="F824" i="18"/>
  <c r="D824" i="18"/>
  <c r="B824" i="18"/>
  <c r="F823" i="18"/>
  <c r="D823" i="18"/>
  <c r="B823" i="18"/>
  <c r="F822" i="18"/>
  <c r="D822" i="18"/>
  <c r="B822" i="18"/>
  <c r="F821" i="18"/>
  <c r="D821" i="18"/>
  <c r="B821" i="18"/>
  <c r="F820" i="18"/>
  <c r="D820" i="18"/>
  <c r="B820" i="18"/>
  <c r="F819" i="18"/>
  <c r="D819" i="18"/>
  <c r="B819" i="18"/>
  <c r="F818" i="18"/>
  <c r="D818" i="18"/>
  <c r="B818" i="18"/>
  <c r="F817" i="18"/>
  <c r="D817" i="18"/>
  <c r="B817" i="18"/>
  <c r="F816" i="18"/>
  <c r="D816" i="18"/>
  <c r="B816" i="18"/>
  <c r="F815" i="18"/>
  <c r="D815" i="18"/>
  <c r="B815" i="18"/>
  <c r="F814" i="18"/>
  <c r="D814" i="18"/>
  <c r="B814" i="18"/>
  <c r="F813" i="18"/>
  <c r="D813" i="18"/>
  <c r="B813" i="18"/>
  <c r="F812" i="18"/>
  <c r="D812" i="18"/>
  <c r="B812" i="18"/>
  <c r="F811" i="18"/>
  <c r="D811" i="18"/>
  <c r="B811" i="18"/>
  <c r="F810" i="18"/>
  <c r="D810" i="18"/>
  <c r="B810" i="18"/>
  <c r="F809" i="18"/>
  <c r="D809" i="18"/>
  <c r="B809" i="18"/>
  <c r="F808" i="18"/>
  <c r="D808" i="18"/>
  <c r="B808" i="18"/>
  <c r="F807" i="18"/>
  <c r="D807" i="18"/>
  <c r="B807" i="18"/>
  <c r="F806" i="18"/>
  <c r="D806" i="18"/>
  <c r="B806" i="18"/>
  <c r="F805" i="18"/>
  <c r="D805" i="18"/>
  <c r="B805" i="18"/>
  <c r="F804" i="18"/>
  <c r="D804" i="18"/>
  <c r="B804" i="18"/>
  <c r="F803" i="18"/>
  <c r="D803" i="18"/>
  <c r="B803" i="18"/>
  <c r="F802" i="18"/>
  <c r="D802" i="18"/>
  <c r="B802" i="18"/>
  <c r="F801" i="18"/>
  <c r="D801" i="18"/>
  <c r="B801" i="18"/>
  <c r="F800" i="18"/>
  <c r="D800" i="18"/>
  <c r="B800" i="18"/>
  <c r="F799" i="18"/>
  <c r="D799" i="18"/>
  <c r="B799" i="18"/>
  <c r="F798" i="18"/>
  <c r="D798" i="18"/>
  <c r="B798" i="18"/>
  <c r="F797" i="18"/>
  <c r="D797" i="18"/>
  <c r="B797" i="18"/>
  <c r="F796" i="18"/>
  <c r="D796" i="18"/>
  <c r="B796" i="18"/>
  <c r="F795" i="18"/>
  <c r="D795" i="18"/>
  <c r="B795" i="18"/>
  <c r="F794" i="18"/>
  <c r="D794" i="18"/>
  <c r="B794" i="18"/>
  <c r="F793" i="18"/>
  <c r="D793" i="18"/>
  <c r="B793" i="18"/>
  <c r="F792" i="18"/>
  <c r="D792" i="18"/>
  <c r="B792" i="18"/>
  <c r="F791" i="18"/>
  <c r="D791" i="18"/>
  <c r="B791" i="18"/>
  <c r="F790" i="18"/>
  <c r="D790" i="18"/>
  <c r="B790" i="18"/>
  <c r="F789" i="18"/>
  <c r="D789" i="18"/>
  <c r="B789" i="18"/>
  <c r="F788" i="18"/>
  <c r="D788" i="18"/>
  <c r="B788" i="18"/>
  <c r="F787" i="18"/>
  <c r="D787" i="18"/>
  <c r="B787" i="18"/>
  <c r="F786" i="18"/>
  <c r="D786" i="18"/>
  <c r="B786" i="18"/>
  <c r="F785" i="18"/>
  <c r="D785" i="18"/>
  <c r="B785" i="18"/>
  <c r="F784" i="18"/>
  <c r="D784" i="18"/>
  <c r="B784" i="18"/>
  <c r="F783" i="18"/>
  <c r="D783" i="18"/>
  <c r="B783" i="18"/>
  <c r="F782" i="18"/>
  <c r="D782" i="18"/>
  <c r="B782" i="18"/>
  <c r="F781" i="18"/>
  <c r="D781" i="18"/>
  <c r="B781" i="18"/>
  <c r="F780" i="18"/>
  <c r="D780" i="18"/>
  <c r="B780" i="18"/>
  <c r="F779" i="18"/>
  <c r="D779" i="18"/>
  <c r="B779" i="18"/>
  <c r="F778" i="18"/>
  <c r="D778" i="18"/>
  <c r="B778" i="18"/>
  <c r="F777" i="18"/>
  <c r="D777" i="18"/>
  <c r="B777" i="18"/>
  <c r="F776" i="18"/>
  <c r="D776" i="18"/>
  <c r="B776" i="18"/>
  <c r="F775" i="18"/>
  <c r="D775" i="18"/>
  <c r="B775" i="18"/>
  <c r="F774" i="18"/>
  <c r="D774" i="18"/>
  <c r="B774" i="18"/>
  <c r="F773" i="18"/>
  <c r="D773" i="18"/>
  <c r="B773" i="18"/>
  <c r="F772" i="18"/>
  <c r="D772" i="18"/>
  <c r="B772" i="18"/>
  <c r="F771" i="18"/>
  <c r="D771" i="18"/>
  <c r="B771" i="18"/>
  <c r="F770" i="18"/>
  <c r="D770" i="18"/>
  <c r="B770" i="18"/>
  <c r="F769" i="18"/>
  <c r="D769" i="18"/>
  <c r="B769" i="18"/>
  <c r="F768" i="18"/>
  <c r="D768" i="18"/>
  <c r="B768" i="18"/>
  <c r="F767" i="18"/>
  <c r="D767" i="18"/>
  <c r="B767" i="18"/>
  <c r="F766" i="18"/>
  <c r="D766" i="18"/>
  <c r="B766" i="18"/>
  <c r="F765" i="18"/>
  <c r="D765" i="18"/>
  <c r="B765" i="18"/>
  <c r="F764" i="18"/>
  <c r="D764" i="18"/>
  <c r="B764" i="18"/>
  <c r="F763" i="18"/>
  <c r="D763" i="18"/>
  <c r="B763" i="18"/>
  <c r="F762" i="18"/>
  <c r="D762" i="18"/>
  <c r="B762" i="18"/>
  <c r="F761" i="18"/>
  <c r="D761" i="18"/>
  <c r="B761" i="18"/>
  <c r="F760" i="18"/>
  <c r="D760" i="18"/>
  <c r="B760" i="18"/>
  <c r="F759" i="18"/>
  <c r="D759" i="18"/>
  <c r="B759" i="18"/>
  <c r="F758" i="18"/>
  <c r="D758" i="18"/>
  <c r="B758" i="18"/>
  <c r="F757" i="18"/>
  <c r="D757" i="18"/>
  <c r="B757" i="18"/>
  <c r="F756" i="18"/>
  <c r="D756" i="18"/>
  <c r="B756" i="18"/>
  <c r="F755" i="18"/>
  <c r="D755" i="18"/>
  <c r="B755" i="18"/>
  <c r="F754" i="18"/>
  <c r="D754" i="18"/>
  <c r="B754" i="18"/>
  <c r="F753" i="18"/>
  <c r="D753" i="18"/>
  <c r="B753" i="18"/>
  <c r="F752" i="18"/>
  <c r="D752" i="18"/>
  <c r="B752" i="18"/>
  <c r="F751" i="18"/>
  <c r="D751" i="18"/>
  <c r="B751" i="18"/>
  <c r="F750" i="18"/>
  <c r="D750" i="18"/>
  <c r="B750" i="18"/>
  <c r="F749" i="18"/>
  <c r="D749" i="18"/>
  <c r="B749" i="18"/>
  <c r="F748" i="18"/>
  <c r="D748" i="18"/>
  <c r="B748" i="18"/>
  <c r="F747" i="18"/>
  <c r="D747" i="18"/>
  <c r="B747" i="18"/>
  <c r="F746" i="18"/>
  <c r="D746" i="18"/>
  <c r="B746" i="18"/>
  <c r="F745" i="18"/>
  <c r="D745" i="18"/>
  <c r="B745" i="18"/>
  <c r="F744" i="18"/>
  <c r="D744" i="18"/>
  <c r="B744" i="18"/>
  <c r="F743" i="18"/>
  <c r="D743" i="18"/>
  <c r="B743" i="18"/>
  <c r="F742" i="18"/>
  <c r="D742" i="18"/>
  <c r="B742" i="18"/>
  <c r="F741" i="18"/>
  <c r="D741" i="18"/>
  <c r="B741" i="18"/>
  <c r="F740" i="18"/>
  <c r="D740" i="18"/>
  <c r="B740" i="18"/>
  <c r="F739" i="18"/>
  <c r="D739" i="18"/>
  <c r="B739" i="18"/>
  <c r="F738" i="18"/>
  <c r="D738" i="18"/>
  <c r="B738" i="18"/>
  <c r="F737" i="18"/>
  <c r="D737" i="18"/>
  <c r="B737" i="18"/>
  <c r="F736" i="18"/>
  <c r="D736" i="18"/>
  <c r="B736" i="18"/>
  <c r="F735" i="18"/>
  <c r="D735" i="18"/>
  <c r="B735" i="18"/>
  <c r="F734" i="18"/>
  <c r="D734" i="18"/>
  <c r="B734" i="18"/>
  <c r="F733" i="18"/>
  <c r="D733" i="18"/>
  <c r="B733" i="18"/>
  <c r="F732" i="18"/>
  <c r="D732" i="18"/>
  <c r="B732" i="18"/>
  <c r="F731" i="18"/>
  <c r="D731" i="18"/>
  <c r="B731" i="18"/>
  <c r="F730" i="18"/>
  <c r="D730" i="18"/>
  <c r="B730" i="18"/>
  <c r="F729" i="18"/>
  <c r="D729" i="18"/>
  <c r="B729" i="18"/>
  <c r="F728" i="18"/>
  <c r="D728" i="18"/>
  <c r="B728" i="18"/>
  <c r="F727" i="18"/>
  <c r="D727" i="18"/>
  <c r="B727" i="18"/>
  <c r="F726" i="18"/>
  <c r="D726" i="18"/>
  <c r="B726" i="18"/>
  <c r="F725" i="18"/>
  <c r="D725" i="18"/>
  <c r="B725" i="18"/>
  <c r="F724" i="18"/>
  <c r="D724" i="18"/>
  <c r="B724" i="18"/>
  <c r="F723" i="18"/>
  <c r="D723" i="18"/>
  <c r="B723" i="18"/>
  <c r="F722" i="18"/>
  <c r="D722" i="18"/>
  <c r="B722" i="18"/>
  <c r="F721" i="18"/>
  <c r="D721" i="18"/>
  <c r="B721" i="18"/>
  <c r="F720" i="18"/>
  <c r="D720" i="18"/>
  <c r="B720" i="18"/>
  <c r="F719" i="18"/>
  <c r="D719" i="18"/>
  <c r="B719" i="18"/>
  <c r="F718" i="18"/>
  <c r="D718" i="18"/>
  <c r="B718" i="18"/>
  <c r="F717" i="18"/>
  <c r="D717" i="18"/>
  <c r="B717" i="18"/>
  <c r="F716" i="18"/>
  <c r="D716" i="18"/>
  <c r="B716" i="18"/>
  <c r="F715" i="18"/>
  <c r="D715" i="18"/>
  <c r="B715" i="18"/>
  <c r="F714" i="18"/>
  <c r="D714" i="18"/>
  <c r="B714" i="18"/>
  <c r="F713" i="18"/>
  <c r="D713" i="18"/>
  <c r="B713" i="18"/>
  <c r="F712" i="18"/>
  <c r="D712" i="18"/>
  <c r="B712" i="18"/>
  <c r="F711" i="18"/>
  <c r="D711" i="18"/>
  <c r="B711" i="18"/>
  <c r="F710" i="18"/>
  <c r="D710" i="18"/>
  <c r="B710" i="18"/>
  <c r="F709" i="18"/>
  <c r="D709" i="18"/>
  <c r="B709" i="18"/>
  <c r="F708" i="18"/>
  <c r="D708" i="18"/>
  <c r="B708" i="18"/>
  <c r="F707" i="18"/>
  <c r="D707" i="18"/>
  <c r="B707" i="18"/>
  <c r="F706" i="18"/>
  <c r="D706" i="18"/>
  <c r="B706" i="18"/>
  <c r="F705" i="18"/>
  <c r="D705" i="18"/>
  <c r="B705" i="18"/>
  <c r="F704" i="18"/>
  <c r="D704" i="18"/>
  <c r="B704" i="18"/>
  <c r="F703" i="18"/>
  <c r="D703" i="18"/>
  <c r="B703" i="18"/>
  <c r="F702" i="18"/>
  <c r="D702" i="18"/>
  <c r="B702" i="18"/>
  <c r="F701" i="18"/>
  <c r="D701" i="18"/>
  <c r="B701" i="18"/>
  <c r="F700" i="18"/>
  <c r="D700" i="18"/>
  <c r="B700" i="18"/>
  <c r="F699" i="18"/>
  <c r="D699" i="18"/>
  <c r="B699" i="18"/>
  <c r="F698" i="18"/>
  <c r="D698" i="18"/>
  <c r="B698" i="18"/>
  <c r="F697" i="18"/>
  <c r="D697" i="18"/>
  <c r="B697" i="18"/>
  <c r="F696" i="18"/>
  <c r="D696" i="18"/>
  <c r="B696" i="18"/>
  <c r="F695" i="18"/>
  <c r="D695" i="18"/>
  <c r="B695" i="18"/>
  <c r="F694" i="18"/>
  <c r="D694" i="18"/>
  <c r="B694" i="18"/>
  <c r="F693" i="18"/>
  <c r="D693" i="18"/>
  <c r="B693" i="18"/>
  <c r="F692" i="18"/>
  <c r="D692" i="18"/>
  <c r="B692" i="18"/>
  <c r="F691" i="18"/>
  <c r="D691" i="18"/>
  <c r="B691" i="18"/>
  <c r="F690" i="18"/>
  <c r="D690" i="18"/>
  <c r="B690" i="18"/>
  <c r="F689" i="18"/>
  <c r="D689" i="18"/>
  <c r="B689" i="18"/>
  <c r="F688" i="18"/>
  <c r="D688" i="18"/>
  <c r="B688" i="18"/>
  <c r="F687" i="18"/>
  <c r="D687" i="18"/>
  <c r="B687" i="18"/>
  <c r="F686" i="18"/>
  <c r="D686" i="18"/>
  <c r="B686" i="18"/>
  <c r="F685" i="18"/>
  <c r="D685" i="18"/>
  <c r="B685" i="18"/>
  <c r="F684" i="18"/>
  <c r="D684" i="18"/>
  <c r="B684" i="18"/>
  <c r="F683" i="18"/>
  <c r="D683" i="18"/>
  <c r="B683" i="18"/>
  <c r="F682" i="18"/>
  <c r="D682" i="18"/>
  <c r="B682" i="18"/>
  <c r="F681" i="18"/>
  <c r="D681" i="18"/>
  <c r="B681" i="18"/>
  <c r="F680" i="18"/>
  <c r="D680" i="18"/>
  <c r="B680" i="18"/>
  <c r="F679" i="18"/>
  <c r="D679" i="18"/>
  <c r="B679" i="18"/>
  <c r="F678" i="18"/>
  <c r="D678" i="18"/>
  <c r="B678" i="18"/>
  <c r="F677" i="18"/>
  <c r="D677" i="18"/>
  <c r="B677" i="18"/>
  <c r="F676" i="18"/>
  <c r="D676" i="18"/>
  <c r="B676" i="18"/>
  <c r="F675" i="18"/>
  <c r="D675" i="18"/>
  <c r="B675" i="18"/>
  <c r="F674" i="18"/>
  <c r="D674" i="18"/>
  <c r="B674" i="18"/>
  <c r="F673" i="18"/>
  <c r="D673" i="18"/>
  <c r="B673" i="18"/>
  <c r="F672" i="18"/>
  <c r="D672" i="18"/>
  <c r="B672" i="18"/>
  <c r="F671" i="18"/>
  <c r="D671" i="18"/>
  <c r="B671" i="18"/>
  <c r="F670" i="18"/>
  <c r="D670" i="18"/>
  <c r="B670" i="18"/>
  <c r="F669" i="18"/>
  <c r="D669" i="18"/>
  <c r="B669" i="18"/>
  <c r="F668" i="18"/>
  <c r="D668" i="18"/>
  <c r="B668" i="18"/>
  <c r="F667" i="18"/>
  <c r="D667" i="18"/>
  <c r="B667" i="18"/>
  <c r="F666" i="18"/>
  <c r="D666" i="18"/>
  <c r="B666" i="18"/>
  <c r="F665" i="18"/>
  <c r="D665" i="18"/>
  <c r="B665" i="18"/>
  <c r="F664" i="18"/>
  <c r="D664" i="18"/>
  <c r="B664" i="18"/>
  <c r="F663" i="18"/>
  <c r="D663" i="18"/>
  <c r="B663" i="18"/>
  <c r="F662" i="18"/>
  <c r="D662" i="18"/>
  <c r="B662" i="18"/>
  <c r="F661" i="18"/>
  <c r="D661" i="18"/>
  <c r="B661" i="18"/>
  <c r="F660" i="18"/>
  <c r="D660" i="18"/>
  <c r="B660" i="18"/>
  <c r="F659" i="18"/>
  <c r="D659" i="18"/>
  <c r="B659" i="18"/>
  <c r="F658" i="18"/>
  <c r="D658" i="18"/>
  <c r="B658" i="18"/>
  <c r="F657" i="18"/>
  <c r="D657" i="18"/>
  <c r="B657" i="18"/>
  <c r="F656" i="18"/>
  <c r="D656" i="18"/>
  <c r="B656" i="18"/>
  <c r="F655" i="18"/>
  <c r="D655" i="18"/>
  <c r="B655" i="18"/>
  <c r="F654" i="18"/>
  <c r="D654" i="18"/>
  <c r="B654" i="18"/>
  <c r="F653" i="18"/>
  <c r="D653" i="18"/>
  <c r="B653" i="18"/>
  <c r="F652" i="18"/>
  <c r="D652" i="18"/>
  <c r="B652" i="18"/>
  <c r="F651" i="18"/>
  <c r="D651" i="18"/>
  <c r="B651" i="18"/>
  <c r="F650" i="18"/>
  <c r="D650" i="18"/>
  <c r="B650" i="18"/>
  <c r="F649" i="18"/>
  <c r="D649" i="18"/>
  <c r="B649" i="18"/>
  <c r="F648" i="18"/>
  <c r="D648" i="18"/>
  <c r="B648" i="18"/>
  <c r="F647" i="18"/>
  <c r="D647" i="18"/>
  <c r="B647" i="18"/>
  <c r="F646" i="18"/>
  <c r="D646" i="18"/>
  <c r="B646" i="18"/>
  <c r="F645" i="18"/>
  <c r="D645" i="18"/>
  <c r="B645" i="18"/>
  <c r="F644" i="18"/>
  <c r="D644" i="18"/>
  <c r="B644" i="18"/>
  <c r="F643" i="18"/>
  <c r="D643" i="18"/>
  <c r="B643" i="18"/>
  <c r="F642" i="18"/>
  <c r="D642" i="18"/>
  <c r="B642" i="18"/>
  <c r="F641" i="18"/>
  <c r="D641" i="18"/>
  <c r="B641" i="18"/>
  <c r="F640" i="18"/>
  <c r="D640" i="18"/>
  <c r="B640" i="18"/>
  <c r="F639" i="18"/>
  <c r="D639" i="18"/>
  <c r="B639" i="18"/>
  <c r="F638" i="18"/>
  <c r="D638" i="18"/>
  <c r="B638" i="18"/>
  <c r="F637" i="18"/>
  <c r="D637" i="18"/>
  <c r="B637" i="18"/>
  <c r="F636" i="18"/>
  <c r="D636" i="18"/>
  <c r="B636" i="18"/>
  <c r="F635" i="18"/>
  <c r="D635" i="18"/>
  <c r="B635" i="18"/>
  <c r="F634" i="18"/>
  <c r="D634" i="18"/>
  <c r="B634" i="18"/>
  <c r="F633" i="18"/>
  <c r="D633" i="18"/>
  <c r="B633" i="18"/>
  <c r="F632" i="18"/>
  <c r="D632" i="18"/>
  <c r="B632" i="18"/>
  <c r="F631" i="18"/>
  <c r="D631" i="18"/>
  <c r="B631" i="18"/>
  <c r="F630" i="18"/>
  <c r="D630" i="18"/>
  <c r="B630" i="18"/>
  <c r="F629" i="18"/>
  <c r="D629" i="18"/>
  <c r="B629" i="18"/>
  <c r="F628" i="18"/>
  <c r="D628" i="18"/>
  <c r="B628" i="18"/>
  <c r="F627" i="18"/>
  <c r="D627" i="18"/>
  <c r="B627" i="18"/>
  <c r="F626" i="18"/>
  <c r="D626" i="18"/>
  <c r="B626" i="18"/>
  <c r="F625" i="18"/>
  <c r="D625" i="18"/>
  <c r="B625" i="18"/>
  <c r="F624" i="18"/>
  <c r="D624" i="18"/>
  <c r="B624" i="18"/>
  <c r="F623" i="18"/>
  <c r="D623" i="18"/>
  <c r="B623" i="18"/>
  <c r="F622" i="18"/>
  <c r="D622" i="18"/>
  <c r="B622" i="18"/>
  <c r="F621" i="18"/>
  <c r="D621" i="18"/>
  <c r="B621" i="18"/>
  <c r="F620" i="18"/>
  <c r="D620" i="18"/>
  <c r="B620" i="18"/>
  <c r="F619" i="18"/>
  <c r="D619" i="18"/>
  <c r="B619" i="18"/>
  <c r="F618" i="18"/>
  <c r="D618" i="18"/>
  <c r="B618" i="18"/>
  <c r="F617" i="18"/>
  <c r="D617" i="18"/>
  <c r="B617" i="18"/>
  <c r="F616" i="18"/>
  <c r="D616" i="18"/>
  <c r="B616" i="18"/>
  <c r="F615" i="18"/>
  <c r="D615" i="18"/>
  <c r="B615" i="18"/>
  <c r="F614" i="18"/>
  <c r="D614" i="18"/>
  <c r="B614" i="18"/>
  <c r="F613" i="18"/>
  <c r="D613" i="18"/>
  <c r="B613" i="18"/>
  <c r="F612" i="18"/>
  <c r="D612" i="18"/>
  <c r="B612" i="18"/>
  <c r="F611" i="18"/>
  <c r="D611" i="18"/>
  <c r="B611" i="18"/>
  <c r="F610" i="18"/>
  <c r="D610" i="18"/>
  <c r="B610" i="18"/>
  <c r="F609" i="18"/>
  <c r="D609" i="18"/>
  <c r="B609" i="18"/>
  <c r="F608" i="18"/>
  <c r="D608" i="18"/>
  <c r="B608" i="18"/>
  <c r="F607" i="18"/>
  <c r="D607" i="18"/>
  <c r="B607" i="18"/>
  <c r="F606" i="18"/>
  <c r="D606" i="18"/>
  <c r="B606" i="18"/>
  <c r="F605" i="18"/>
  <c r="D605" i="18"/>
  <c r="B605" i="18"/>
  <c r="F604" i="18"/>
  <c r="D604" i="18"/>
  <c r="B604" i="18"/>
  <c r="F603" i="18"/>
  <c r="D603" i="18"/>
  <c r="B603" i="18"/>
  <c r="F602" i="18"/>
  <c r="D602" i="18"/>
  <c r="B602" i="18"/>
  <c r="F601" i="18"/>
  <c r="D601" i="18"/>
  <c r="B601" i="18"/>
  <c r="F600" i="18"/>
  <c r="D600" i="18"/>
  <c r="B600" i="18"/>
  <c r="F599" i="18"/>
  <c r="D599" i="18"/>
  <c r="B599" i="18"/>
  <c r="F598" i="18"/>
  <c r="D598" i="18"/>
  <c r="B598" i="18"/>
  <c r="F597" i="18"/>
  <c r="D597" i="18"/>
  <c r="B597" i="18"/>
  <c r="F596" i="18"/>
  <c r="D596" i="18"/>
  <c r="B596" i="18"/>
  <c r="F595" i="18"/>
  <c r="D595" i="18"/>
  <c r="B595" i="18"/>
  <c r="F594" i="18"/>
  <c r="D594" i="18"/>
  <c r="B594" i="18"/>
  <c r="F593" i="18"/>
  <c r="D593" i="18"/>
  <c r="B593" i="18"/>
  <c r="F592" i="18"/>
  <c r="D592" i="18"/>
  <c r="B592" i="18"/>
  <c r="F591" i="18"/>
  <c r="D591" i="18"/>
  <c r="B591" i="18"/>
  <c r="F590" i="18"/>
  <c r="D590" i="18"/>
  <c r="B590" i="18"/>
  <c r="F589" i="18"/>
  <c r="D589" i="18"/>
  <c r="B589" i="18"/>
  <c r="F588" i="18"/>
  <c r="D588" i="18"/>
  <c r="B588" i="18"/>
  <c r="F587" i="18"/>
  <c r="D587" i="18"/>
  <c r="B587" i="18"/>
  <c r="F586" i="18"/>
  <c r="D586" i="18"/>
  <c r="B586" i="18"/>
  <c r="F585" i="18"/>
  <c r="D585" i="18"/>
  <c r="B585" i="18"/>
  <c r="F584" i="18"/>
  <c r="D584" i="18"/>
  <c r="B584" i="18"/>
  <c r="F583" i="18"/>
  <c r="D583" i="18"/>
  <c r="B583" i="18"/>
  <c r="F582" i="18"/>
  <c r="D582" i="18"/>
  <c r="B582" i="18"/>
  <c r="F581" i="18"/>
  <c r="D581" i="18"/>
  <c r="B581" i="18"/>
  <c r="F580" i="18"/>
  <c r="D580" i="18"/>
  <c r="B580" i="18"/>
  <c r="F579" i="18"/>
  <c r="D579" i="18"/>
  <c r="B579" i="18"/>
  <c r="F578" i="18"/>
  <c r="D578" i="18"/>
  <c r="B578" i="18"/>
  <c r="F577" i="18"/>
  <c r="D577" i="18"/>
  <c r="B577" i="18"/>
  <c r="F576" i="18"/>
  <c r="D576" i="18"/>
  <c r="B576" i="18"/>
  <c r="F575" i="18"/>
  <c r="D575" i="18"/>
  <c r="B575" i="18"/>
  <c r="F574" i="18"/>
  <c r="D574" i="18"/>
  <c r="B574" i="18"/>
  <c r="F573" i="18"/>
  <c r="D573" i="18"/>
  <c r="B573" i="18"/>
  <c r="F572" i="18"/>
  <c r="D572" i="18"/>
  <c r="B572" i="18"/>
  <c r="F571" i="18"/>
  <c r="D571" i="18"/>
  <c r="B571" i="18"/>
  <c r="F570" i="18"/>
  <c r="D570" i="18"/>
  <c r="B570" i="18"/>
  <c r="F569" i="18"/>
  <c r="D569" i="18"/>
  <c r="B569" i="18"/>
  <c r="F568" i="18"/>
  <c r="D568" i="18"/>
  <c r="B568" i="18"/>
  <c r="F567" i="18"/>
  <c r="D567" i="18"/>
  <c r="B567" i="18"/>
  <c r="F566" i="18"/>
  <c r="D566" i="18"/>
  <c r="B566" i="18"/>
  <c r="F565" i="18"/>
  <c r="D565" i="18"/>
  <c r="B565" i="18"/>
  <c r="F564" i="18"/>
  <c r="D564" i="18"/>
  <c r="B564" i="18"/>
  <c r="F563" i="18"/>
  <c r="D563" i="18"/>
  <c r="B563" i="18"/>
  <c r="F562" i="18"/>
  <c r="D562" i="18"/>
  <c r="B562" i="18"/>
  <c r="F561" i="18"/>
  <c r="D561" i="18"/>
  <c r="B561" i="18"/>
  <c r="F560" i="18"/>
  <c r="D560" i="18"/>
  <c r="B560" i="18"/>
  <c r="F559" i="18"/>
  <c r="D559" i="18"/>
  <c r="B559" i="18"/>
  <c r="F558" i="18"/>
  <c r="D558" i="18"/>
  <c r="B558" i="18"/>
  <c r="F557" i="18"/>
  <c r="D557" i="18"/>
  <c r="B557" i="18"/>
  <c r="F556" i="18"/>
  <c r="D556" i="18"/>
  <c r="B556" i="18"/>
  <c r="F555" i="18"/>
  <c r="D555" i="18"/>
  <c r="B555" i="18"/>
  <c r="F554" i="18"/>
  <c r="D554" i="18"/>
  <c r="B554" i="18"/>
  <c r="F553" i="18"/>
  <c r="D553" i="18"/>
  <c r="B553" i="18"/>
  <c r="F552" i="18"/>
  <c r="D552" i="18"/>
  <c r="B552" i="18"/>
  <c r="F551" i="18"/>
  <c r="D551" i="18"/>
  <c r="B551" i="18"/>
  <c r="F550" i="18"/>
  <c r="D550" i="18"/>
  <c r="B550" i="18"/>
  <c r="F549" i="18"/>
  <c r="D549" i="18"/>
  <c r="B549" i="18"/>
  <c r="F548" i="18"/>
  <c r="D548" i="18"/>
  <c r="B548" i="18"/>
  <c r="F547" i="18"/>
  <c r="D547" i="18"/>
  <c r="B547" i="18"/>
  <c r="F546" i="18"/>
  <c r="D546" i="18"/>
  <c r="B546" i="18"/>
  <c r="F545" i="18"/>
  <c r="D545" i="18"/>
  <c r="B545" i="18"/>
  <c r="F544" i="18"/>
  <c r="D544" i="18"/>
  <c r="B544" i="18"/>
  <c r="F543" i="18"/>
  <c r="D543" i="18"/>
  <c r="B543" i="18"/>
  <c r="F542" i="18"/>
  <c r="D542" i="18"/>
  <c r="B542" i="18"/>
  <c r="F541" i="18"/>
  <c r="D541" i="18"/>
  <c r="B541" i="18"/>
  <c r="F540" i="18"/>
  <c r="D540" i="18"/>
  <c r="B540" i="18"/>
  <c r="F539" i="18"/>
  <c r="D539" i="18"/>
  <c r="B539" i="18"/>
  <c r="F538" i="18"/>
  <c r="D538" i="18"/>
  <c r="B538" i="18"/>
  <c r="F537" i="18"/>
  <c r="D537" i="18"/>
  <c r="B537" i="18"/>
  <c r="F536" i="18"/>
  <c r="D536" i="18"/>
  <c r="B536" i="18"/>
  <c r="F535" i="18"/>
  <c r="D535" i="18"/>
  <c r="B535" i="18"/>
  <c r="F534" i="18"/>
  <c r="D534" i="18"/>
  <c r="B534" i="18"/>
  <c r="F533" i="18"/>
  <c r="D533" i="18"/>
  <c r="B533" i="18"/>
  <c r="F532" i="18"/>
  <c r="D532" i="18"/>
  <c r="B532" i="18"/>
  <c r="F531" i="18"/>
  <c r="D531" i="18"/>
  <c r="B531" i="18"/>
  <c r="F530" i="18"/>
  <c r="D530" i="18"/>
  <c r="B530" i="18"/>
  <c r="F529" i="18"/>
  <c r="D529" i="18"/>
  <c r="B529" i="18"/>
  <c r="F528" i="18"/>
  <c r="D528" i="18"/>
  <c r="B528" i="18"/>
  <c r="F527" i="18"/>
  <c r="D527" i="18"/>
  <c r="B527" i="18"/>
  <c r="F526" i="18"/>
  <c r="D526" i="18"/>
  <c r="B526" i="18"/>
  <c r="F525" i="18"/>
  <c r="D525" i="18"/>
  <c r="B525" i="18"/>
  <c r="F524" i="18"/>
  <c r="D524" i="18"/>
  <c r="B524" i="18"/>
  <c r="F523" i="18"/>
  <c r="D523" i="18"/>
  <c r="B523" i="18"/>
  <c r="F522" i="18"/>
  <c r="D522" i="18"/>
  <c r="B522" i="18"/>
  <c r="F521" i="18"/>
  <c r="D521" i="18"/>
  <c r="B521" i="18"/>
  <c r="F520" i="18"/>
  <c r="D520" i="18"/>
  <c r="B520" i="18"/>
  <c r="F519" i="18"/>
  <c r="D519" i="18"/>
  <c r="B519" i="18"/>
  <c r="F518" i="18"/>
  <c r="D518" i="18"/>
  <c r="B518" i="18"/>
  <c r="F517" i="18"/>
  <c r="D517" i="18"/>
  <c r="B517" i="18"/>
  <c r="F516" i="18"/>
  <c r="D516" i="18"/>
  <c r="B516" i="18"/>
  <c r="F515" i="18"/>
  <c r="D515" i="18"/>
  <c r="B515" i="18"/>
  <c r="F514" i="18"/>
  <c r="D514" i="18"/>
  <c r="B514" i="18"/>
  <c r="F513" i="18"/>
  <c r="D513" i="18"/>
  <c r="B513" i="18"/>
  <c r="F512" i="18"/>
  <c r="D512" i="18"/>
  <c r="B512" i="18"/>
  <c r="F511" i="18"/>
  <c r="D511" i="18"/>
  <c r="B511" i="18"/>
  <c r="F510" i="18"/>
  <c r="D510" i="18"/>
  <c r="B510" i="18"/>
  <c r="F509" i="18"/>
  <c r="D509" i="18"/>
  <c r="B509" i="18"/>
  <c r="F508" i="18"/>
  <c r="D508" i="18"/>
  <c r="B508" i="18"/>
  <c r="F507" i="18"/>
  <c r="D507" i="18"/>
  <c r="B507" i="18"/>
  <c r="F506" i="18"/>
  <c r="D506" i="18"/>
  <c r="B506" i="18"/>
  <c r="F505" i="18"/>
  <c r="D505" i="18"/>
  <c r="B505" i="18"/>
  <c r="F504" i="18"/>
  <c r="D504" i="18"/>
  <c r="B504" i="18"/>
  <c r="F503" i="18"/>
  <c r="D503" i="18"/>
  <c r="B503" i="18"/>
  <c r="F502" i="18"/>
  <c r="D502" i="18"/>
  <c r="B502" i="18"/>
  <c r="F501" i="18"/>
  <c r="D501" i="18"/>
  <c r="B501" i="18"/>
  <c r="F500" i="18"/>
  <c r="D500" i="18"/>
  <c r="B500" i="18"/>
  <c r="F499" i="18"/>
  <c r="D499" i="18"/>
  <c r="B499" i="18"/>
  <c r="F498" i="18"/>
  <c r="D498" i="18"/>
  <c r="B498" i="18"/>
  <c r="F497" i="18"/>
  <c r="D497" i="18"/>
  <c r="B497" i="18"/>
  <c r="F496" i="18"/>
  <c r="D496" i="18"/>
  <c r="B496" i="18"/>
  <c r="F495" i="18"/>
  <c r="D495" i="18"/>
  <c r="B495" i="18"/>
  <c r="F494" i="18"/>
  <c r="D494" i="18"/>
  <c r="B494" i="18"/>
  <c r="F493" i="18"/>
  <c r="D493" i="18"/>
  <c r="B493" i="18"/>
  <c r="F492" i="18"/>
  <c r="D492" i="18"/>
  <c r="B492" i="18"/>
  <c r="F491" i="18"/>
  <c r="D491" i="18"/>
  <c r="B491" i="18"/>
  <c r="F490" i="18"/>
  <c r="D490" i="18"/>
  <c r="B490" i="18"/>
  <c r="F489" i="18"/>
  <c r="D489" i="18"/>
  <c r="B489" i="18"/>
  <c r="F488" i="18"/>
  <c r="D488" i="18"/>
  <c r="B488" i="18"/>
  <c r="F487" i="18"/>
  <c r="D487" i="18"/>
  <c r="B487" i="18"/>
  <c r="F486" i="18"/>
  <c r="D486" i="18"/>
  <c r="B486" i="18"/>
  <c r="F485" i="18"/>
  <c r="D485" i="18"/>
  <c r="B485" i="18"/>
  <c r="F484" i="18"/>
  <c r="D484" i="18"/>
  <c r="B484" i="18"/>
  <c r="F483" i="18"/>
  <c r="D483" i="18"/>
  <c r="B483" i="18"/>
  <c r="F482" i="18"/>
  <c r="D482" i="18"/>
  <c r="B482" i="18"/>
  <c r="F481" i="18"/>
  <c r="D481" i="18"/>
  <c r="B481" i="18"/>
  <c r="F480" i="18"/>
  <c r="D480" i="18"/>
  <c r="B480" i="18"/>
  <c r="F479" i="18"/>
  <c r="D479" i="18"/>
  <c r="B479" i="18"/>
  <c r="F478" i="18"/>
  <c r="D478" i="18"/>
  <c r="B478" i="18"/>
  <c r="F477" i="18"/>
  <c r="D477" i="18"/>
  <c r="B477" i="18"/>
  <c r="F476" i="18"/>
  <c r="D476" i="18"/>
  <c r="B476" i="18"/>
  <c r="F475" i="18"/>
  <c r="D475" i="18"/>
  <c r="B475" i="18"/>
  <c r="F474" i="18"/>
  <c r="D474" i="18"/>
  <c r="B474" i="18"/>
  <c r="F473" i="18"/>
  <c r="D473" i="18"/>
  <c r="B473" i="18"/>
  <c r="F472" i="18"/>
  <c r="D472" i="18"/>
  <c r="B472" i="18"/>
  <c r="F471" i="18"/>
  <c r="D471" i="18"/>
  <c r="B471" i="18"/>
  <c r="F470" i="18"/>
  <c r="D470" i="18"/>
  <c r="B470" i="18"/>
  <c r="F469" i="18"/>
  <c r="D469" i="18"/>
  <c r="B469" i="18"/>
  <c r="F468" i="18"/>
  <c r="D468" i="18"/>
  <c r="B468" i="18"/>
  <c r="F467" i="18"/>
  <c r="D467" i="18"/>
  <c r="B467" i="18"/>
  <c r="F466" i="18"/>
  <c r="D466" i="18"/>
  <c r="B466" i="18"/>
  <c r="F465" i="18"/>
  <c r="D465" i="18"/>
  <c r="B465" i="18"/>
  <c r="F464" i="18"/>
  <c r="D464" i="18"/>
  <c r="B464" i="18"/>
  <c r="F463" i="18"/>
  <c r="D463" i="18"/>
  <c r="B463" i="18"/>
  <c r="F462" i="18"/>
  <c r="D462" i="18"/>
  <c r="B462" i="18"/>
  <c r="F461" i="18"/>
  <c r="D461" i="18"/>
  <c r="B461" i="18"/>
  <c r="F460" i="18"/>
  <c r="D460" i="18"/>
  <c r="B460" i="18"/>
  <c r="F459" i="18"/>
  <c r="D459" i="18"/>
  <c r="B459" i="18"/>
  <c r="F458" i="18"/>
  <c r="D458" i="18"/>
  <c r="B458" i="18"/>
  <c r="F457" i="18"/>
  <c r="D457" i="18"/>
  <c r="B457" i="18"/>
  <c r="F456" i="18"/>
  <c r="D456" i="18"/>
  <c r="B456" i="18"/>
  <c r="F455" i="18"/>
  <c r="D455" i="18"/>
  <c r="B455" i="18"/>
  <c r="F454" i="18"/>
  <c r="D454" i="18"/>
  <c r="B454" i="18"/>
  <c r="F453" i="18"/>
  <c r="D453" i="18"/>
  <c r="B453" i="18"/>
  <c r="F452" i="18"/>
  <c r="D452" i="18"/>
  <c r="B452" i="18"/>
  <c r="F451" i="18"/>
  <c r="D451" i="18"/>
  <c r="B451" i="18"/>
  <c r="F450" i="18"/>
  <c r="D450" i="18"/>
  <c r="B450" i="18"/>
  <c r="F449" i="18"/>
  <c r="D449" i="18"/>
  <c r="B449" i="18"/>
  <c r="F448" i="18"/>
  <c r="D448" i="18"/>
  <c r="B448" i="18"/>
  <c r="F447" i="18"/>
  <c r="D447" i="18"/>
  <c r="B447" i="18"/>
  <c r="F446" i="18"/>
  <c r="D446" i="18"/>
  <c r="B446" i="18"/>
  <c r="F445" i="18"/>
  <c r="D445" i="18"/>
  <c r="B445" i="18"/>
  <c r="F444" i="18"/>
  <c r="D444" i="18"/>
  <c r="B444" i="18"/>
  <c r="F443" i="18"/>
  <c r="D443" i="18"/>
  <c r="B443" i="18"/>
  <c r="F442" i="18"/>
  <c r="D442" i="18"/>
  <c r="B442" i="18"/>
  <c r="F441" i="18"/>
  <c r="D441" i="18"/>
  <c r="B441" i="18"/>
  <c r="F440" i="18"/>
  <c r="D440" i="18"/>
  <c r="B440" i="18"/>
  <c r="F439" i="18"/>
  <c r="D439" i="18"/>
  <c r="B439" i="18"/>
  <c r="F438" i="18"/>
  <c r="D438" i="18"/>
  <c r="B438" i="18"/>
  <c r="F437" i="18"/>
  <c r="D437" i="18"/>
  <c r="B437" i="18"/>
  <c r="F436" i="18"/>
  <c r="D436" i="18"/>
  <c r="B436" i="18"/>
  <c r="F435" i="18"/>
  <c r="D435" i="18"/>
  <c r="B435" i="18"/>
  <c r="F434" i="18"/>
  <c r="D434" i="18"/>
  <c r="B434" i="18"/>
  <c r="F433" i="18"/>
  <c r="D433" i="18"/>
  <c r="B433" i="18"/>
  <c r="F432" i="18"/>
  <c r="D432" i="18"/>
  <c r="B432" i="18"/>
  <c r="F431" i="18"/>
  <c r="D431" i="18"/>
  <c r="B431" i="18"/>
  <c r="F430" i="18"/>
  <c r="D430" i="18"/>
  <c r="B430" i="18"/>
  <c r="F429" i="18"/>
  <c r="D429" i="18"/>
  <c r="B429" i="18"/>
  <c r="F428" i="18"/>
  <c r="D428" i="18"/>
  <c r="B428" i="18"/>
  <c r="F427" i="18"/>
  <c r="D427" i="18"/>
  <c r="B427" i="18"/>
  <c r="F426" i="18"/>
  <c r="D426" i="18"/>
  <c r="B426" i="18"/>
  <c r="F425" i="18"/>
  <c r="D425" i="18"/>
  <c r="B425" i="18"/>
  <c r="F424" i="18"/>
  <c r="D424" i="18"/>
  <c r="B424" i="18"/>
  <c r="F423" i="18"/>
  <c r="D423" i="18"/>
  <c r="B423" i="18"/>
  <c r="F422" i="18"/>
  <c r="D422" i="18"/>
  <c r="B422" i="18"/>
  <c r="F421" i="18"/>
  <c r="D421" i="18"/>
  <c r="B421" i="18"/>
  <c r="F420" i="18"/>
  <c r="D420" i="18"/>
  <c r="B420" i="18"/>
  <c r="F419" i="18"/>
  <c r="D419" i="18"/>
  <c r="B419" i="18"/>
  <c r="F418" i="18"/>
  <c r="D418" i="18"/>
  <c r="B418" i="18"/>
  <c r="F417" i="18"/>
  <c r="D417" i="18"/>
  <c r="B417" i="18"/>
  <c r="F416" i="18"/>
  <c r="D416" i="18"/>
  <c r="B416" i="18"/>
  <c r="F415" i="18"/>
  <c r="D415" i="18"/>
  <c r="B415" i="18"/>
  <c r="F414" i="18"/>
  <c r="D414" i="18"/>
  <c r="B414" i="18"/>
  <c r="F413" i="18"/>
  <c r="D413" i="18"/>
  <c r="B413" i="18"/>
  <c r="F412" i="18"/>
  <c r="D412" i="18"/>
  <c r="B412" i="18"/>
  <c r="F411" i="18"/>
  <c r="D411" i="18"/>
  <c r="B411" i="18"/>
  <c r="F410" i="18"/>
  <c r="D410" i="18"/>
  <c r="B410" i="18"/>
  <c r="F409" i="18"/>
  <c r="D409" i="18"/>
  <c r="B409" i="18"/>
  <c r="F408" i="18"/>
  <c r="D408" i="18"/>
  <c r="B408" i="18"/>
  <c r="F407" i="18"/>
  <c r="D407" i="18"/>
  <c r="B407" i="18"/>
  <c r="F406" i="18"/>
  <c r="D406" i="18"/>
  <c r="B406" i="18"/>
  <c r="F405" i="18"/>
  <c r="D405" i="18"/>
  <c r="B405" i="18"/>
  <c r="F404" i="18"/>
  <c r="D404" i="18"/>
  <c r="B404" i="18"/>
  <c r="F403" i="18"/>
  <c r="D403" i="18"/>
  <c r="B403" i="18"/>
  <c r="F402" i="18"/>
  <c r="D402" i="18"/>
  <c r="B402" i="18"/>
  <c r="F401" i="18"/>
  <c r="D401" i="18"/>
  <c r="B401" i="18"/>
  <c r="F400" i="18"/>
  <c r="D400" i="18"/>
  <c r="B400" i="18"/>
  <c r="F399" i="18"/>
  <c r="D399" i="18"/>
  <c r="B399" i="18"/>
  <c r="F398" i="18"/>
  <c r="D398" i="18"/>
  <c r="B398" i="18"/>
  <c r="F397" i="18"/>
  <c r="D397" i="18"/>
  <c r="B397" i="18"/>
  <c r="F396" i="18"/>
  <c r="D396" i="18"/>
  <c r="B396" i="18"/>
  <c r="F395" i="18"/>
  <c r="D395" i="18"/>
  <c r="B395" i="18"/>
  <c r="F394" i="18"/>
  <c r="D394" i="18"/>
  <c r="B394" i="18"/>
  <c r="F393" i="18"/>
  <c r="D393" i="18"/>
  <c r="B393" i="18"/>
  <c r="F392" i="18"/>
  <c r="D392" i="18"/>
  <c r="B392" i="18"/>
  <c r="F391" i="18"/>
  <c r="D391" i="18"/>
  <c r="B391" i="18"/>
  <c r="F390" i="18"/>
  <c r="D390" i="18"/>
  <c r="B390" i="18"/>
  <c r="F389" i="18"/>
  <c r="D389" i="18"/>
  <c r="B389" i="18"/>
  <c r="F388" i="18"/>
  <c r="D388" i="18"/>
  <c r="B388" i="18"/>
  <c r="F387" i="18"/>
  <c r="D387" i="18"/>
  <c r="B387" i="18"/>
  <c r="F386" i="18"/>
  <c r="D386" i="18"/>
  <c r="B386" i="18"/>
  <c r="F385" i="18"/>
  <c r="D385" i="18"/>
  <c r="B385" i="18"/>
  <c r="F384" i="18"/>
  <c r="D384" i="18"/>
  <c r="B384" i="18"/>
  <c r="F383" i="18"/>
  <c r="D383" i="18"/>
  <c r="B383" i="18"/>
  <c r="F382" i="18"/>
  <c r="D382" i="18"/>
  <c r="B382" i="18"/>
  <c r="F381" i="18"/>
  <c r="D381" i="18"/>
  <c r="B381" i="18"/>
  <c r="F380" i="18"/>
  <c r="D380" i="18"/>
  <c r="B380" i="18"/>
  <c r="F379" i="18"/>
  <c r="D379" i="18"/>
  <c r="B379" i="18"/>
  <c r="F378" i="18"/>
  <c r="D378" i="18"/>
  <c r="B378" i="18"/>
  <c r="F377" i="18"/>
  <c r="D377" i="18"/>
  <c r="B377" i="18"/>
  <c r="F376" i="18"/>
  <c r="D376" i="18"/>
  <c r="B376" i="18"/>
  <c r="F375" i="18"/>
  <c r="D375" i="18"/>
  <c r="B375" i="18"/>
  <c r="F374" i="18"/>
  <c r="D374" i="18"/>
  <c r="B374" i="18"/>
  <c r="F373" i="18"/>
  <c r="D373" i="18"/>
  <c r="B373" i="18"/>
  <c r="F372" i="18"/>
  <c r="D372" i="18"/>
  <c r="B372" i="18"/>
  <c r="F371" i="18"/>
  <c r="D371" i="18"/>
  <c r="B371" i="18"/>
  <c r="F370" i="18"/>
  <c r="D370" i="18"/>
  <c r="B370" i="18"/>
  <c r="F369" i="18"/>
  <c r="D369" i="18"/>
  <c r="B369" i="18"/>
  <c r="F368" i="18"/>
  <c r="D368" i="18"/>
  <c r="B368" i="18"/>
  <c r="F367" i="18"/>
  <c r="D367" i="18"/>
  <c r="B367" i="18"/>
  <c r="F366" i="18"/>
  <c r="D366" i="18"/>
  <c r="B366" i="18"/>
  <c r="F365" i="18"/>
  <c r="D365" i="18"/>
  <c r="B365" i="18"/>
  <c r="F364" i="18"/>
  <c r="D364" i="18"/>
  <c r="B364" i="18"/>
  <c r="F363" i="18"/>
  <c r="D363" i="18"/>
  <c r="B363" i="18"/>
  <c r="F362" i="18"/>
  <c r="D362" i="18"/>
  <c r="B362" i="18"/>
  <c r="F361" i="18"/>
  <c r="D361" i="18"/>
  <c r="B361" i="18"/>
  <c r="F360" i="18"/>
  <c r="D360" i="18"/>
  <c r="B360" i="18"/>
  <c r="F359" i="18"/>
  <c r="D359" i="18"/>
  <c r="B359" i="18"/>
  <c r="F358" i="18"/>
  <c r="D358" i="18"/>
  <c r="B358" i="18"/>
  <c r="F357" i="18"/>
  <c r="D357" i="18"/>
  <c r="B357" i="18"/>
  <c r="F356" i="18"/>
  <c r="D356" i="18"/>
  <c r="B356" i="18"/>
  <c r="F355" i="18"/>
  <c r="D355" i="18"/>
  <c r="B355" i="18"/>
  <c r="F354" i="18"/>
  <c r="D354" i="18"/>
  <c r="B354" i="18"/>
  <c r="F353" i="18"/>
  <c r="D353" i="18"/>
  <c r="B353" i="18"/>
  <c r="F352" i="18"/>
  <c r="D352" i="18"/>
  <c r="B352" i="18"/>
  <c r="F351" i="18"/>
  <c r="D351" i="18"/>
  <c r="B351" i="18"/>
  <c r="F350" i="18"/>
  <c r="D350" i="18"/>
  <c r="B350" i="18"/>
  <c r="F349" i="18"/>
  <c r="D349" i="18"/>
  <c r="B349" i="18"/>
  <c r="F348" i="18"/>
  <c r="D348" i="18"/>
  <c r="B348" i="18"/>
  <c r="F347" i="18"/>
  <c r="D347" i="18"/>
  <c r="B347" i="18"/>
  <c r="F346" i="18"/>
  <c r="D346" i="18"/>
  <c r="B346" i="18"/>
  <c r="F345" i="18"/>
  <c r="D345" i="18"/>
  <c r="B345" i="18"/>
  <c r="F344" i="18"/>
  <c r="D344" i="18"/>
  <c r="B344" i="18"/>
  <c r="F343" i="18"/>
  <c r="D343" i="18"/>
  <c r="B343" i="18"/>
  <c r="F342" i="18"/>
  <c r="D342" i="18"/>
  <c r="B342" i="18"/>
  <c r="F341" i="18"/>
  <c r="D341" i="18"/>
  <c r="B341" i="18"/>
  <c r="F340" i="18"/>
  <c r="D340" i="18"/>
  <c r="B340" i="18"/>
  <c r="F339" i="18"/>
  <c r="D339" i="18"/>
  <c r="B339" i="18"/>
  <c r="F338" i="18"/>
  <c r="D338" i="18"/>
  <c r="B338" i="18"/>
  <c r="F337" i="18"/>
  <c r="D337" i="18"/>
  <c r="B337" i="18"/>
  <c r="F336" i="18"/>
  <c r="D336" i="18"/>
  <c r="B336" i="18"/>
  <c r="F335" i="18"/>
  <c r="D335" i="18"/>
  <c r="B335" i="18"/>
  <c r="F334" i="18"/>
  <c r="D334" i="18"/>
  <c r="B334" i="18"/>
  <c r="F333" i="18"/>
  <c r="D333" i="18"/>
  <c r="B333" i="18"/>
  <c r="F332" i="18"/>
  <c r="D332" i="18"/>
  <c r="B332" i="18"/>
  <c r="F331" i="18"/>
  <c r="D331" i="18"/>
  <c r="B331" i="18"/>
  <c r="F330" i="18"/>
  <c r="D330" i="18"/>
  <c r="B330" i="18"/>
  <c r="F329" i="18"/>
  <c r="D329" i="18"/>
  <c r="B329" i="18"/>
  <c r="F328" i="18"/>
  <c r="D328" i="18"/>
  <c r="B328" i="18"/>
  <c r="F327" i="18"/>
  <c r="D327" i="18"/>
  <c r="B327" i="18"/>
  <c r="F326" i="18"/>
  <c r="D326" i="18"/>
  <c r="B326" i="18"/>
  <c r="F325" i="18"/>
  <c r="D325" i="18"/>
  <c r="B325" i="18"/>
  <c r="F324" i="18"/>
  <c r="D324" i="18"/>
  <c r="B324" i="18"/>
  <c r="F323" i="18"/>
  <c r="D323" i="18"/>
  <c r="B323" i="18"/>
  <c r="F322" i="18"/>
  <c r="D322" i="18"/>
  <c r="B322" i="18"/>
  <c r="F321" i="18"/>
  <c r="D321" i="18"/>
  <c r="B321" i="18"/>
  <c r="F320" i="18"/>
  <c r="D320" i="18"/>
  <c r="B320" i="18"/>
  <c r="F319" i="18"/>
  <c r="D319" i="18"/>
  <c r="B319" i="18"/>
  <c r="F318" i="18"/>
  <c r="D318" i="18"/>
  <c r="B318" i="18"/>
  <c r="F317" i="18"/>
  <c r="D317" i="18"/>
  <c r="B317" i="18"/>
  <c r="F316" i="18"/>
  <c r="D316" i="18"/>
  <c r="B316" i="18"/>
  <c r="F315" i="18"/>
  <c r="D315" i="18"/>
  <c r="B315" i="18"/>
  <c r="F314" i="18"/>
  <c r="D314" i="18"/>
  <c r="B314" i="18"/>
  <c r="F313" i="18"/>
  <c r="D313" i="18"/>
  <c r="B313" i="18"/>
  <c r="F312" i="18"/>
  <c r="D312" i="18"/>
  <c r="B312" i="18"/>
  <c r="F311" i="18"/>
  <c r="D311" i="18"/>
  <c r="B311" i="18"/>
  <c r="F310" i="18"/>
  <c r="D310" i="18"/>
  <c r="B310" i="18"/>
  <c r="F309" i="18"/>
  <c r="D309" i="18"/>
  <c r="B309" i="18"/>
  <c r="F308" i="18"/>
  <c r="D308" i="18"/>
  <c r="B308" i="18"/>
  <c r="F307" i="18"/>
  <c r="D307" i="18"/>
  <c r="B307" i="18"/>
  <c r="F306" i="18"/>
  <c r="D306" i="18"/>
  <c r="B306" i="18"/>
  <c r="F305" i="18"/>
  <c r="D305" i="18"/>
  <c r="B305" i="18"/>
  <c r="F304" i="18"/>
  <c r="D304" i="18"/>
  <c r="B304" i="18"/>
  <c r="F303" i="18"/>
  <c r="D303" i="18"/>
  <c r="B303" i="18"/>
  <c r="F302" i="18"/>
  <c r="D302" i="18"/>
  <c r="B302" i="18"/>
  <c r="F301" i="18"/>
  <c r="D301" i="18"/>
  <c r="B301" i="18"/>
  <c r="F300" i="18"/>
  <c r="D300" i="18"/>
  <c r="B300" i="18"/>
  <c r="F299" i="18"/>
  <c r="D299" i="18"/>
  <c r="B299" i="18"/>
  <c r="F298" i="18"/>
  <c r="D298" i="18"/>
  <c r="B298" i="18"/>
  <c r="F297" i="18"/>
  <c r="D297" i="18"/>
  <c r="B297" i="18"/>
  <c r="F296" i="18"/>
  <c r="D296" i="18"/>
  <c r="B296" i="18"/>
  <c r="F295" i="18"/>
  <c r="D295" i="18"/>
  <c r="B295" i="18"/>
  <c r="F294" i="18"/>
  <c r="D294" i="18"/>
  <c r="B294" i="18"/>
  <c r="F293" i="18"/>
  <c r="D293" i="18"/>
  <c r="B293" i="18"/>
  <c r="F292" i="18"/>
  <c r="D292" i="18"/>
  <c r="B292" i="18"/>
  <c r="F291" i="18"/>
  <c r="D291" i="18"/>
  <c r="B291" i="18"/>
  <c r="F290" i="18"/>
  <c r="D290" i="18"/>
  <c r="B290" i="18"/>
  <c r="F289" i="18"/>
  <c r="D289" i="18"/>
  <c r="B289" i="18"/>
  <c r="F288" i="18"/>
  <c r="D288" i="18"/>
  <c r="B288" i="18"/>
  <c r="F287" i="18"/>
  <c r="D287" i="18"/>
  <c r="B287" i="18"/>
  <c r="F286" i="18"/>
  <c r="D286" i="18"/>
  <c r="B286" i="18"/>
  <c r="F285" i="18"/>
  <c r="D285" i="18"/>
  <c r="B285" i="18"/>
  <c r="F284" i="18"/>
  <c r="D284" i="18"/>
  <c r="B284" i="18"/>
  <c r="F283" i="18"/>
  <c r="D283" i="18"/>
  <c r="B283" i="18"/>
  <c r="F282" i="18"/>
  <c r="D282" i="18"/>
  <c r="B282" i="18"/>
  <c r="F281" i="18"/>
  <c r="D281" i="18"/>
  <c r="B281" i="18"/>
  <c r="F280" i="18"/>
  <c r="D280" i="18"/>
  <c r="B280" i="18"/>
  <c r="F279" i="18"/>
  <c r="D279" i="18"/>
  <c r="B279" i="18"/>
  <c r="F278" i="18"/>
  <c r="D278" i="18"/>
  <c r="B278" i="18"/>
  <c r="F277" i="18"/>
  <c r="D277" i="18"/>
  <c r="B277" i="18"/>
  <c r="F276" i="18"/>
  <c r="D276" i="18"/>
  <c r="B276" i="18"/>
  <c r="F275" i="18"/>
  <c r="D275" i="18"/>
  <c r="B275" i="18"/>
  <c r="F274" i="18"/>
  <c r="D274" i="18"/>
  <c r="B274" i="18"/>
  <c r="F273" i="18"/>
  <c r="D273" i="18"/>
  <c r="B273" i="18"/>
  <c r="F272" i="18"/>
  <c r="D272" i="18"/>
  <c r="B272" i="18"/>
  <c r="F271" i="18"/>
  <c r="D271" i="18"/>
  <c r="B271" i="18"/>
  <c r="F270" i="18"/>
  <c r="D270" i="18"/>
  <c r="B270" i="18"/>
  <c r="F269" i="18"/>
  <c r="D269" i="18"/>
  <c r="B269" i="18"/>
  <c r="F268" i="18"/>
  <c r="D268" i="18"/>
  <c r="B268" i="18"/>
  <c r="F267" i="18"/>
  <c r="D267" i="18"/>
  <c r="B267" i="18"/>
  <c r="F266" i="18"/>
  <c r="D266" i="18"/>
  <c r="B266" i="18"/>
  <c r="F265" i="18"/>
  <c r="D265" i="18"/>
  <c r="B265" i="18"/>
  <c r="F264" i="18"/>
  <c r="D264" i="18"/>
  <c r="B264" i="18"/>
  <c r="F263" i="18"/>
  <c r="D263" i="18"/>
  <c r="B263" i="18"/>
  <c r="F262" i="18"/>
  <c r="D262" i="18"/>
  <c r="B262" i="18"/>
  <c r="F261" i="18"/>
  <c r="D261" i="18"/>
  <c r="B261" i="18"/>
  <c r="F260" i="18"/>
  <c r="D260" i="18"/>
  <c r="B260" i="18"/>
  <c r="F259" i="18"/>
  <c r="D259" i="18"/>
  <c r="B259" i="18"/>
  <c r="F258" i="18"/>
  <c r="D258" i="18"/>
  <c r="B258" i="18"/>
  <c r="F257" i="18"/>
  <c r="D257" i="18"/>
  <c r="B257" i="18"/>
  <c r="F256" i="18"/>
  <c r="D256" i="18"/>
  <c r="B256" i="18"/>
  <c r="F255" i="18"/>
  <c r="D255" i="18"/>
  <c r="B255" i="18"/>
  <c r="F254" i="18"/>
  <c r="D254" i="18"/>
  <c r="B254" i="18"/>
  <c r="F253" i="18"/>
  <c r="D253" i="18"/>
  <c r="B253" i="18"/>
  <c r="F252" i="18"/>
  <c r="D252" i="18"/>
  <c r="B252" i="18"/>
  <c r="F251" i="18"/>
  <c r="D251" i="18"/>
  <c r="B251" i="18"/>
  <c r="F250" i="18"/>
  <c r="D250" i="18"/>
  <c r="B250" i="18"/>
  <c r="F249" i="18"/>
  <c r="D249" i="18"/>
  <c r="B249" i="18"/>
  <c r="F248" i="18"/>
  <c r="D248" i="18"/>
  <c r="B248" i="18"/>
  <c r="F247" i="18"/>
  <c r="D247" i="18"/>
  <c r="B247" i="18"/>
  <c r="F246" i="18"/>
  <c r="D246" i="18"/>
  <c r="B246" i="18"/>
  <c r="F245" i="18"/>
  <c r="D245" i="18"/>
  <c r="B245" i="18"/>
  <c r="F244" i="18"/>
  <c r="D244" i="18"/>
  <c r="B244" i="18"/>
  <c r="F243" i="18"/>
  <c r="D243" i="18"/>
  <c r="B243" i="18"/>
  <c r="F242" i="18"/>
  <c r="D242" i="18"/>
  <c r="B242" i="18"/>
  <c r="F241" i="18"/>
  <c r="D241" i="18"/>
  <c r="B241" i="18"/>
  <c r="F240" i="18"/>
  <c r="D240" i="18"/>
  <c r="B240" i="18"/>
  <c r="F239" i="18"/>
  <c r="D239" i="18"/>
  <c r="B239" i="18"/>
  <c r="F238" i="18"/>
  <c r="D238" i="18"/>
  <c r="B238" i="18"/>
  <c r="F237" i="18"/>
  <c r="D237" i="18"/>
  <c r="B237" i="18"/>
  <c r="F236" i="18"/>
  <c r="D236" i="18"/>
  <c r="B236" i="18"/>
  <c r="F235" i="18"/>
  <c r="D235" i="18"/>
  <c r="B235" i="18"/>
  <c r="F234" i="18"/>
  <c r="D234" i="18"/>
  <c r="B234" i="18"/>
  <c r="F233" i="18"/>
  <c r="D233" i="18"/>
  <c r="B233" i="18"/>
  <c r="F232" i="18"/>
  <c r="D232" i="18"/>
  <c r="B232" i="18"/>
  <c r="F231" i="18"/>
  <c r="D231" i="18"/>
  <c r="B231" i="18"/>
  <c r="F230" i="18"/>
  <c r="D230" i="18"/>
  <c r="B230" i="18"/>
  <c r="F229" i="18"/>
  <c r="D229" i="18"/>
  <c r="B229" i="18"/>
  <c r="F228" i="18"/>
  <c r="D228" i="18"/>
  <c r="B228" i="18"/>
  <c r="F227" i="18"/>
  <c r="D227" i="18"/>
  <c r="B227" i="18"/>
  <c r="F226" i="18"/>
  <c r="D226" i="18"/>
  <c r="B226" i="18"/>
  <c r="F225" i="18"/>
  <c r="D225" i="18"/>
  <c r="B225" i="18"/>
  <c r="F224" i="18"/>
  <c r="D224" i="18"/>
  <c r="B224" i="18"/>
  <c r="F223" i="18"/>
  <c r="D223" i="18"/>
  <c r="B223" i="18"/>
  <c r="F222" i="18"/>
  <c r="D222" i="18"/>
  <c r="B222" i="18"/>
  <c r="F221" i="18"/>
  <c r="D221" i="18"/>
  <c r="B221" i="18"/>
  <c r="F220" i="18"/>
  <c r="D220" i="18"/>
  <c r="B220" i="18"/>
  <c r="F219" i="18"/>
  <c r="D219" i="18"/>
  <c r="B219" i="18"/>
  <c r="F218" i="18"/>
  <c r="D218" i="18"/>
  <c r="B218" i="18"/>
  <c r="F217" i="18"/>
  <c r="D217" i="18"/>
  <c r="B217" i="18"/>
  <c r="F216" i="18"/>
  <c r="D216" i="18"/>
  <c r="B216" i="18"/>
  <c r="F215" i="18"/>
  <c r="D215" i="18"/>
  <c r="B215" i="18"/>
  <c r="F214" i="18"/>
  <c r="D214" i="18"/>
  <c r="B214" i="18"/>
  <c r="F213" i="18"/>
  <c r="D213" i="18"/>
  <c r="B213" i="18"/>
  <c r="F212" i="18"/>
  <c r="D212" i="18"/>
  <c r="B212" i="18"/>
  <c r="F211" i="18"/>
  <c r="D211" i="18"/>
  <c r="B211" i="18"/>
  <c r="F210" i="18"/>
  <c r="D210" i="18"/>
  <c r="B210" i="18"/>
  <c r="F209" i="18"/>
  <c r="D209" i="18"/>
  <c r="B209" i="18"/>
  <c r="F208" i="18"/>
  <c r="D208" i="18"/>
  <c r="B208" i="18"/>
  <c r="F207" i="18"/>
  <c r="D207" i="18"/>
  <c r="B207" i="18"/>
  <c r="F206" i="18"/>
  <c r="D206" i="18"/>
  <c r="B206" i="18"/>
  <c r="F205" i="18"/>
  <c r="D205" i="18"/>
  <c r="B205" i="18"/>
  <c r="F204" i="18"/>
  <c r="D204" i="18"/>
  <c r="B204" i="18"/>
  <c r="F203" i="18"/>
  <c r="D203" i="18"/>
  <c r="B203" i="18"/>
  <c r="F202" i="18"/>
  <c r="D202" i="18"/>
  <c r="B202" i="18"/>
  <c r="F201" i="18"/>
  <c r="D201" i="18"/>
  <c r="B201" i="18"/>
  <c r="F200" i="18"/>
  <c r="D200" i="18"/>
  <c r="B200" i="18"/>
  <c r="F199" i="18"/>
  <c r="D199" i="18"/>
  <c r="B199" i="18"/>
  <c r="F198" i="18"/>
  <c r="D198" i="18"/>
  <c r="B198" i="18"/>
  <c r="F197" i="18"/>
  <c r="D197" i="18"/>
  <c r="B197" i="18"/>
  <c r="F196" i="18"/>
  <c r="D196" i="18"/>
  <c r="B196" i="18"/>
  <c r="F195" i="18"/>
  <c r="D195" i="18"/>
  <c r="B195" i="18"/>
  <c r="F194" i="18"/>
  <c r="D194" i="18"/>
  <c r="B194" i="18"/>
  <c r="F193" i="18"/>
  <c r="D193" i="18"/>
  <c r="B193" i="18"/>
  <c r="F192" i="18"/>
  <c r="D192" i="18"/>
  <c r="B192" i="18"/>
  <c r="F191" i="18"/>
  <c r="D191" i="18"/>
  <c r="B191" i="18"/>
  <c r="F190" i="18"/>
  <c r="D190" i="18"/>
  <c r="B190" i="18"/>
  <c r="F189" i="18"/>
  <c r="D189" i="18"/>
  <c r="B189" i="18"/>
  <c r="F188" i="18"/>
  <c r="D188" i="18"/>
  <c r="B188" i="18"/>
  <c r="F187" i="18"/>
  <c r="D187" i="18"/>
  <c r="B187" i="18"/>
  <c r="F186" i="18"/>
  <c r="D186" i="18"/>
  <c r="B186" i="18"/>
  <c r="F185" i="18"/>
  <c r="D185" i="18"/>
  <c r="B185" i="18"/>
  <c r="F184" i="18"/>
  <c r="D184" i="18"/>
  <c r="B184" i="18"/>
  <c r="F183" i="18"/>
  <c r="D183" i="18"/>
  <c r="B183" i="18"/>
  <c r="F182" i="18"/>
  <c r="D182" i="18"/>
  <c r="B182" i="18"/>
  <c r="F181" i="18"/>
  <c r="D181" i="18"/>
  <c r="B181" i="18"/>
  <c r="F180" i="18"/>
  <c r="D180" i="18"/>
  <c r="B180" i="18"/>
  <c r="F179" i="18"/>
  <c r="D179" i="18"/>
  <c r="B179" i="18"/>
  <c r="F178" i="18"/>
  <c r="D178" i="18"/>
  <c r="B178" i="18"/>
  <c r="F177" i="18"/>
  <c r="D177" i="18"/>
  <c r="B177" i="18"/>
  <c r="F176" i="18"/>
  <c r="D176" i="18"/>
  <c r="B176" i="18"/>
  <c r="F175" i="18"/>
  <c r="D175" i="18"/>
  <c r="B175" i="18"/>
  <c r="F174" i="18"/>
  <c r="D174" i="18"/>
  <c r="B174" i="18"/>
  <c r="F173" i="18"/>
  <c r="D173" i="18"/>
  <c r="B173" i="18"/>
  <c r="F172" i="18"/>
  <c r="D172" i="18"/>
  <c r="B172" i="18"/>
  <c r="F171" i="18"/>
  <c r="D171" i="18"/>
  <c r="B171" i="18"/>
  <c r="F170" i="18"/>
  <c r="D170" i="18"/>
  <c r="B170" i="18"/>
  <c r="F169" i="18"/>
  <c r="D169" i="18"/>
  <c r="B169" i="18"/>
  <c r="F168" i="18"/>
  <c r="D168" i="18"/>
  <c r="B168" i="18"/>
  <c r="F167" i="18"/>
  <c r="D167" i="18"/>
  <c r="B167" i="18"/>
  <c r="F166" i="18"/>
  <c r="D166" i="18"/>
  <c r="B166" i="18"/>
  <c r="F165" i="18"/>
  <c r="D165" i="18"/>
  <c r="B165" i="18"/>
  <c r="F164" i="18"/>
  <c r="D164" i="18"/>
  <c r="B164" i="18"/>
  <c r="F163" i="18"/>
  <c r="D163" i="18"/>
  <c r="B163" i="18"/>
  <c r="F162" i="18"/>
  <c r="D162" i="18"/>
  <c r="B162" i="18"/>
  <c r="F161" i="18"/>
  <c r="D161" i="18"/>
  <c r="B161" i="18"/>
  <c r="F160" i="18"/>
  <c r="D160" i="18"/>
  <c r="B160" i="18"/>
  <c r="F159" i="18"/>
  <c r="D159" i="18"/>
  <c r="B159" i="18"/>
  <c r="F158" i="18"/>
  <c r="D158" i="18"/>
  <c r="B158" i="18"/>
  <c r="F157" i="18"/>
  <c r="D157" i="18"/>
  <c r="B157" i="18"/>
  <c r="F156" i="18"/>
  <c r="D156" i="18"/>
  <c r="B156" i="18"/>
  <c r="F155" i="18"/>
  <c r="D155" i="18"/>
  <c r="B155" i="18"/>
  <c r="F154" i="18"/>
  <c r="D154" i="18"/>
  <c r="B154" i="18"/>
  <c r="F153" i="18"/>
  <c r="D153" i="18"/>
  <c r="B153" i="18"/>
  <c r="F152" i="18"/>
  <c r="D152" i="18"/>
  <c r="B152" i="18"/>
  <c r="F151" i="18"/>
  <c r="D151" i="18"/>
  <c r="B151" i="18"/>
  <c r="F150" i="18"/>
  <c r="D150" i="18"/>
  <c r="B150" i="18"/>
  <c r="F149" i="18"/>
  <c r="D149" i="18"/>
  <c r="B149" i="18"/>
  <c r="F148" i="18"/>
  <c r="D148" i="18"/>
  <c r="B148" i="18"/>
  <c r="F147" i="18"/>
  <c r="D147" i="18"/>
  <c r="B147" i="18"/>
  <c r="F146" i="18"/>
  <c r="D146" i="18"/>
  <c r="B146" i="18"/>
  <c r="F145" i="18"/>
  <c r="D145" i="18"/>
  <c r="B145" i="18"/>
  <c r="F144" i="18"/>
  <c r="D144" i="18"/>
  <c r="B144" i="18"/>
  <c r="F143" i="18"/>
  <c r="D143" i="18"/>
  <c r="B143" i="18"/>
  <c r="F142" i="18"/>
  <c r="D142" i="18"/>
  <c r="B142" i="18"/>
  <c r="F141" i="18"/>
  <c r="D141" i="18"/>
  <c r="B141" i="18"/>
  <c r="F140" i="18"/>
  <c r="D140" i="18"/>
  <c r="B140" i="18"/>
  <c r="F139" i="18"/>
  <c r="D139" i="18"/>
  <c r="B139" i="18"/>
  <c r="F138" i="18"/>
  <c r="D138" i="18"/>
  <c r="B138" i="18"/>
  <c r="F137" i="18"/>
  <c r="D137" i="18"/>
  <c r="B137" i="18"/>
  <c r="F136" i="18"/>
  <c r="D136" i="18"/>
  <c r="B136" i="18"/>
  <c r="F135" i="18"/>
  <c r="D135" i="18"/>
  <c r="B135" i="18"/>
  <c r="F134" i="18"/>
  <c r="D134" i="18"/>
  <c r="B134" i="18"/>
  <c r="F133" i="18"/>
  <c r="D133" i="18"/>
  <c r="B133" i="18"/>
  <c r="F132" i="18"/>
  <c r="D132" i="18"/>
  <c r="B132" i="18"/>
  <c r="F131" i="18"/>
  <c r="D131" i="18"/>
  <c r="B131" i="18"/>
  <c r="F130" i="18"/>
  <c r="D130" i="18"/>
  <c r="B130" i="18"/>
  <c r="F129" i="18"/>
  <c r="D129" i="18"/>
  <c r="B129" i="18"/>
  <c r="F128" i="18"/>
  <c r="D128" i="18"/>
  <c r="B128" i="18"/>
  <c r="F127" i="18"/>
  <c r="D127" i="18"/>
  <c r="B127" i="18"/>
  <c r="F126" i="18"/>
  <c r="D126" i="18"/>
  <c r="B126" i="18"/>
  <c r="F125" i="18"/>
  <c r="D125" i="18"/>
  <c r="B125" i="18"/>
  <c r="F124" i="18"/>
  <c r="D124" i="18"/>
  <c r="B124" i="18"/>
  <c r="F123" i="18"/>
  <c r="D123" i="18"/>
  <c r="B123" i="18"/>
  <c r="F122" i="18"/>
  <c r="D122" i="18"/>
  <c r="B122" i="18"/>
  <c r="F121" i="18"/>
  <c r="D121" i="18"/>
  <c r="B121" i="18"/>
  <c r="F120" i="18"/>
  <c r="D120" i="18"/>
  <c r="B120" i="18"/>
  <c r="F119" i="18"/>
  <c r="D119" i="18"/>
  <c r="B119" i="18"/>
  <c r="F118" i="18"/>
  <c r="D118" i="18"/>
  <c r="B118" i="18"/>
  <c r="F117" i="18"/>
  <c r="D117" i="18"/>
  <c r="B117" i="18"/>
  <c r="F116" i="18"/>
  <c r="D116" i="18"/>
  <c r="B116" i="18"/>
  <c r="F115" i="18"/>
  <c r="D115" i="18"/>
  <c r="B115" i="18"/>
  <c r="F114" i="18"/>
  <c r="D114" i="18"/>
  <c r="B114" i="18"/>
  <c r="F113" i="18"/>
  <c r="D113" i="18"/>
  <c r="B113" i="18"/>
  <c r="F112" i="18"/>
  <c r="D112" i="18"/>
  <c r="B112" i="18"/>
  <c r="F111" i="18"/>
  <c r="D111" i="18"/>
  <c r="B111" i="18"/>
  <c r="F110" i="18"/>
  <c r="D110" i="18"/>
  <c r="B110" i="18"/>
  <c r="F109" i="18"/>
  <c r="D109" i="18"/>
  <c r="B109" i="18"/>
  <c r="F108" i="18"/>
  <c r="D108" i="18"/>
  <c r="B108" i="18"/>
  <c r="F107" i="18"/>
  <c r="D107" i="18"/>
  <c r="B107" i="18"/>
  <c r="F106" i="18"/>
  <c r="D106" i="18"/>
  <c r="B106" i="18"/>
  <c r="F105" i="18"/>
  <c r="D105" i="18"/>
  <c r="B105" i="18"/>
  <c r="F104" i="18"/>
  <c r="D104" i="18"/>
  <c r="B104" i="18"/>
  <c r="F103" i="18"/>
  <c r="D103" i="18"/>
  <c r="B103" i="18"/>
  <c r="F102" i="18"/>
  <c r="D102" i="18"/>
  <c r="B102" i="18"/>
  <c r="F101" i="18"/>
  <c r="D101" i="18"/>
  <c r="B101" i="18"/>
  <c r="F100" i="18"/>
  <c r="D100" i="18"/>
  <c r="B100" i="18"/>
  <c r="F99" i="18"/>
  <c r="D99" i="18"/>
  <c r="B99" i="18"/>
  <c r="F98" i="18"/>
  <c r="D98" i="18"/>
  <c r="B98" i="18"/>
  <c r="F97" i="18"/>
  <c r="D97" i="18"/>
  <c r="B97" i="18"/>
  <c r="F96" i="18"/>
  <c r="D96" i="18"/>
  <c r="B96" i="18"/>
  <c r="F95" i="18"/>
  <c r="D95" i="18"/>
  <c r="B95" i="18"/>
  <c r="F94" i="18"/>
  <c r="D94" i="18"/>
  <c r="B94" i="18"/>
  <c r="F93" i="18"/>
  <c r="D93" i="18"/>
  <c r="B93" i="18"/>
  <c r="F92" i="18"/>
  <c r="D92" i="18"/>
  <c r="B92" i="18"/>
  <c r="F91" i="18"/>
  <c r="D91" i="18"/>
  <c r="B91" i="18"/>
  <c r="F90" i="18"/>
  <c r="D90" i="18"/>
  <c r="B90" i="18"/>
  <c r="F89" i="18"/>
  <c r="D89" i="18"/>
  <c r="B89" i="18"/>
  <c r="B88" i="18"/>
  <c r="B87" i="18"/>
  <c r="B86" i="18"/>
  <c r="F85" i="18"/>
  <c r="D85" i="18"/>
  <c r="B85" i="18"/>
  <c r="F84" i="18"/>
  <c r="D84" i="18"/>
  <c r="B84" i="18"/>
  <c r="F83" i="18"/>
  <c r="D83" i="18"/>
  <c r="B83" i="18"/>
  <c r="F82" i="18"/>
  <c r="D82" i="18"/>
  <c r="B82" i="18"/>
  <c r="F81" i="18"/>
  <c r="D81" i="18"/>
  <c r="B81" i="18"/>
  <c r="F80" i="18"/>
  <c r="D80" i="18"/>
  <c r="B80" i="18"/>
  <c r="F79" i="18"/>
  <c r="D79" i="18"/>
  <c r="B79" i="18"/>
  <c r="F78" i="18"/>
  <c r="D78" i="18"/>
  <c r="B78" i="18"/>
  <c r="F77" i="18"/>
  <c r="D77" i="18"/>
  <c r="B77" i="18"/>
  <c r="F76" i="18"/>
  <c r="D76" i="18"/>
  <c r="B76" i="18"/>
  <c r="F75" i="18"/>
  <c r="D75" i="18"/>
  <c r="B75" i="18"/>
  <c r="F74" i="18"/>
  <c r="D74" i="18"/>
  <c r="B74" i="18"/>
  <c r="F73" i="18"/>
  <c r="D73" i="18"/>
  <c r="B73" i="18"/>
  <c r="F72" i="18"/>
  <c r="D72" i="18"/>
  <c r="B72" i="18"/>
  <c r="F71" i="18"/>
  <c r="D71" i="18"/>
  <c r="B71" i="18"/>
  <c r="F70" i="18"/>
  <c r="D70" i="18"/>
  <c r="B70" i="18"/>
  <c r="F69" i="18"/>
  <c r="D69" i="18"/>
  <c r="B69" i="18"/>
  <c r="F68" i="18"/>
  <c r="D68" i="18"/>
  <c r="B68" i="18"/>
  <c r="F67" i="18"/>
  <c r="D67" i="18"/>
  <c r="B67" i="18"/>
  <c r="F66" i="18"/>
  <c r="D66" i="18"/>
  <c r="B66" i="18"/>
  <c r="F65" i="18"/>
  <c r="D65" i="18"/>
  <c r="B65" i="18"/>
  <c r="F64" i="18"/>
  <c r="D64" i="18"/>
  <c r="B64" i="18"/>
  <c r="F63" i="18"/>
  <c r="D63" i="18"/>
  <c r="B63" i="18"/>
  <c r="F62" i="18"/>
  <c r="D62" i="18"/>
  <c r="B62" i="18"/>
  <c r="F61" i="18"/>
  <c r="D61" i="18"/>
  <c r="B61" i="18"/>
  <c r="F60" i="18"/>
  <c r="D60" i="18"/>
  <c r="B60" i="18"/>
  <c r="F59" i="18"/>
  <c r="D59" i="18"/>
  <c r="B59" i="18"/>
  <c r="F58" i="18"/>
  <c r="D58" i="18"/>
  <c r="B58" i="18"/>
  <c r="F57" i="18"/>
  <c r="D57" i="18"/>
  <c r="B57" i="18"/>
  <c r="F56" i="18"/>
  <c r="D56" i="18"/>
  <c r="B56" i="18"/>
  <c r="F55" i="18"/>
  <c r="D55" i="18"/>
  <c r="B55" i="18"/>
  <c r="F54" i="18"/>
  <c r="D54" i="18"/>
  <c r="B54" i="18"/>
  <c r="F53" i="18"/>
  <c r="D53" i="18"/>
  <c r="B53" i="18"/>
  <c r="F52" i="18"/>
  <c r="D52" i="18"/>
  <c r="B52" i="18"/>
  <c r="F51" i="18"/>
  <c r="D51" i="18"/>
  <c r="B51" i="18"/>
  <c r="F50" i="18"/>
  <c r="D50" i="18"/>
  <c r="B50" i="18"/>
  <c r="F49" i="18"/>
  <c r="D49" i="18"/>
  <c r="B49" i="18"/>
  <c r="F48" i="18"/>
  <c r="D48" i="18"/>
  <c r="B48" i="18"/>
  <c r="F47" i="18"/>
  <c r="D47" i="18"/>
  <c r="B47" i="18"/>
  <c r="F46" i="18"/>
  <c r="D46" i="18"/>
  <c r="B46" i="18"/>
  <c r="F45" i="18"/>
  <c r="D45" i="18"/>
  <c r="B45" i="18"/>
  <c r="F44" i="18"/>
  <c r="D44" i="18"/>
  <c r="B44" i="18"/>
  <c r="F42" i="18"/>
  <c r="D42" i="18"/>
  <c r="B42" i="18"/>
  <c r="F41" i="18"/>
  <c r="D41" i="18"/>
  <c r="B41" i="18"/>
  <c r="F40" i="18"/>
  <c r="D40" i="18"/>
  <c r="B40" i="18"/>
  <c r="F39" i="18"/>
  <c r="D39" i="18"/>
  <c r="B39" i="18"/>
  <c r="F38" i="18"/>
  <c r="D38" i="18"/>
  <c r="B38" i="18"/>
  <c r="F37" i="18"/>
  <c r="D37" i="18"/>
  <c r="B37" i="18"/>
  <c r="F36" i="18"/>
  <c r="D36" i="18"/>
  <c r="B36" i="18"/>
  <c r="F35" i="18"/>
  <c r="D35" i="18"/>
  <c r="B35" i="18"/>
  <c r="F34" i="18"/>
  <c r="D34" i="18"/>
  <c r="B34" i="18"/>
  <c r="F33" i="18"/>
  <c r="D33" i="18"/>
  <c r="B33" i="18"/>
  <c r="F32" i="18"/>
  <c r="D32" i="18"/>
  <c r="B32" i="18"/>
  <c r="F31" i="18"/>
  <c r="D31" i="18"/>
  <c r="B31" i="18"/>
  <c r="F30" i="18"/>
  <c r="D30" i="18"/>
  <c r="B30" i="18"/>
  <c r="F29" i="18"/>
  <c r="D29" i="18"/>
  <c r="B29" i="18"/>
  <c r="F28" i="18"/>
  <c r="D28" i="18"/>
  <c r="B28" i="18"/>
  <c r="F27" i="18"/>
  <c r="D27" i="18"/>
  <c r="B27" i="18"/>
  <c r="F26" i="18"/>
  <c r="D26" i="18"/>
  <c r="B26" i="18"/>
  <c r="F25" i="18"/>
  <c r="D25" i="18"/>
  <c r="B25" i="18"/>
  <c r="F24" i="18"/>
  <c r="D24" i="18"/>
  <c r="B24" i="18"/>
  <c r="F23" i="18"/>
  <c r="D23" i="18"/>
  <c r="B23" i="18"/>
  <c r="F22" i="18"/>
  <c r="D22" i="18"/>
  <c r="B22" i="18"/>
  <c r="F21" i="18"/>
  <c r="D21" i="18"/>
  <c r="B21" i="18"/>
  <c r="F20" i="18"/>
  <c r="D20" i="18"/>
  <c r="B20" i="18"/>
  <c r="F19" i="18"/>
  <c r="D19" i="18"/>
  <c r="B19" i="18"/>
  <c r="F18" i="18"/>
  <c r="D18" i="18"/>
  <c r="B18" i="18"/>
  <c r="F17" i="18"/>
  <c r="D17" i="18"/>
  <c r="B17" i="18"/>
  <c r="F16" i="18"/>
  <c r="D16" i="18"/>
  <c r="B16" i="18"/>
  <c r="F15" i="18"/>
  <c r="D15" i="18"/>
  <c r="B15" i="18"/>
  <c r="F14" i="18"/>
  <c r="D14" i="18"/>
  <c r="B14" i="18"/>
  <c r="F13" i="18"/>
  <c r="D13" i="18"/>
  <c r="B13" i="18"/>
  <c r="F12" i="18"/>
  <c r="D12" i="18"/>
  <c r="B12" i="18"/>
  <c r="F11" i="18"/>
  <c r="D11" i="18"/>
  <c r="B11" i="18"/>
  <c r="F10" i="18"/>
  <c r="D10" i="18"/>
  <c r="B10" i="18"/>
  <c r="F9" i="18"/>
  <c r="D9" i="18"/>
  <c r="B9" i="18"/>
  <c r="F8" i="18"/>
  <c r="D8" i="18"/>
  <c r="B8" i="18"/>
  <c r="F7" i="18"/>
  <c r="D7" i="18"/>
  <c r="B7" i="18"/>
  <c r="F6" i="18"/>
  <c r="D6" i="18"/>
  <c r="B6" i="18"/>
  <c r="F5" i="18"/>
  <c r="D5" i="18"/>
  <c r="B5" i="18"/>
  <c r="F4" i="18"/>
  <c r="D4" i="18"/>
  <c r="B4" i="18"/>
  <c r="F3" i="18"/>
  <c r="D3" i="18"/>
  <c r="B3" i="18"/>
  <c r="F2" i="18"/>
  <c r="D2" i="18"/>
  <c r="B2" i="18"/>
  <c r="X149" i="4" l="1"/>
  <c r="AB103" i="4" l="1"/>
  <c r="J54" i="5" l="1"/>
  <c r="C48" i="15" l="1"/>
  <c r="Y14" i="1" l="1"/>
  <c r="C44" i="17" l="1"/>
  <c r="C70" i="15" l="1"/>
  <c r="C63" i="15"/>
  <c r="C61" i="15"/>
  <c r="C64" i="12"/>
  <c r="C63" i="12"/>
  <c r="C65" i="12"/>
  <c r="I187" i="8" l="1"/>
  <c r="I158" i="8"/>
  <c r="B4" i="8"/>
  <c r="T143" i="4" l="1"/>
  <c r="T104" i="4"/>
  <c r="T142" i="4" l="1"/>
  <c r="J56" i="4"/>
  <c r="H70" i="4" l="1"/>
  <c r="X143" i="4"/>
  <c r="X142" i="4"/>
  <c r="L142" i="4"/>
  <c r="L143" i="4"/>
  <c r="J142" i="4"/>
  <c r="J143" i="4"/>
  <c r="I125" i="4" l="1"/>
  <c r="L8" i="6" l="1"/>
  <c r="L6" i="6"/>
  <c r="L6" i="3"/>
  <c r="L149" i="1" l="1"/>
  <c r="J149" i="1"/>
  <c r="L7" i="1"/>
  <c r="Y18" i="1"/>
  <c r="W17" i="1"/>
  <c r="L17" i="1"/>
  <c r="J17" i="1"/>
  <c r="J154" i="1" l="1"/>
  <c r="J45" i="1"/>
  <c r="U184" i="2" l="1"/>
  <c r="F21" i="6" l="1"/>
  <c r="Y14" i="5" l="1"/>
  <c r="J93" i="2"/>
  <c r="T90" i="4"/>
  <c r="Z90" i="4" s="1"/>
  <c r="I173" i="18" s="1"/>
  <c r="L127" i="1" l="1"/>
  <c r="L103" i="4" l="1"/>
  <c r="K106" i="4"/>
  <c r="H200" i="1" l="1"/>
  <c r="J171" i="4" l="1"/>
  <c r="J170" i="4"/>
  <c r="J169" i="4"/>
  <c r="J177" i="2"/>
  <c r="AB136" i="5" l="1"/>
  <c r="AB128" i="3"/>
  <c r="AB127" i="3"/>
  <c r="AB120" i="3"/>
  <c r="AB113" i="3"/>
  <c r="AB110" i="3"/>
  <c r="AB108" i="3"/>
  <c r="AB53" i="3"/>
  <c r="AB67" i="2"/>
  <c r="AB65" i="2"/>
  <c r="AB80" i="2"/>
  <c r="AB105" i="2"/>
  <c r="AB111" i="2"/>
  <c r="AB113" i="2"/>
  <c r="AB112" i="2"/>
  <c r="AB110" i="2"/>
  <c r="AB109" i="2"/>
  <c r="AB162" i="2"/>
  <c r="AB158" i="4"/>
  <c r="AB155" i="4"/>
  <c r="AB90" i="4"/>
  <c r="AB81" i="4"/>
  <c r="AB44" i="4"/>
  <c r="AB43" i="4"/>
  <c r="AB42" i="4"/>
  <c r="AB35" i="4"/>
  <c r="AB38" i="6"/>
  <c r="AB24" i="6"/>
  <c r="AB28" i="6"/>
  <c r="AB170" i="4"/>
  <c r="AB160" i="4"/>
  <c r="AB166" i="4"/>
  <c r="AB165" i="4"/>
  <c r="AB164" i="4"/>
  <c r="AB163" i="4"/>
  <c r="AB162" i="4"/>
  <c r="AB161" i="4"/>
  <c r="AB159" i="4" l="1"/>
  <c r="M158" i="8" s="1"/>
  <c r="AB19" i="3" l="1"/>
  <c r="AA50" i="2"/>
  <c r="AA51" i="2"/>
  <c r="AB42" i="2"/>
  <c r="Y22" i="2"/>
  <c r="AB16" i="2"/>
  <c r="AB25" i="1"/>
  <c r="AB13" i="1"/>
  <c r="J44" i="3" l="1"/>
  <c r="X132" i="1" l="1"/>
  <c r="I34" i="1" l="1"/>
  <c r="H39" i="6"/>
  <c r="O39" i="6" s="1"/>
  <c r="S39" i="6" s="1"/>
  <c r="AA36" i="6"/>
  <c r="AA37" i="6"/>
  <c r="V74" i="1"/>
  <c r="X74" i="1" s="1"/>
  <c r="AA75" i="1"/>
  <c r="L45" i="1"/>
  <c r="AA13" i="1"/>
  <c r="H140" i="5" l="1"/>
  <c r="L166" i="2" l="1"/>
  <c r="X95" i="1" l="1"/>
  <c r="T93" i="1"/>
  <c r="X93" i="1"/>
  <c r="W93" i="1"/>
  <c r="T52" i="6" l="1"/>
  <c r="Z52" i="6" s="1"/>
  <c r="V51" i="6"/>
  <c r="X51" i="6" s="1"/>
  <c r="X50" i="6"/>
  <c r="X49" i="6"/>
  <c r="X48" i="6"/>
  <c r="T46" i="6"/>
  <c r="Z46" i="6" s="1"/>
  <c r="V45" i="6"/>
  <c r="X45" i="6" s="1"/>
  <c r="V44" i="6"/>
  <c r="X44" i="6" s="1"/>
  <c r="T43" i="6"/>
  <c r="Z43" i="6" s="1"/>
  <c r="AB43" i="6" s="1"/>
  <c r="T39" i="6"/>
  <c r="Z39" i="6" s="1"/>
  <c r="T38" i="6"/>
  <c r="V37" i="6"/>
  <c r="X37" i="6" s="1"/>
  <c r="T36" i="6"/>
  <c r="Z36" i="6" s="1"/>
  <c r="T35" i="6"/>
  <c r="Z35" i="6" s="1"/>
  <c r="T34" i="6"/>
  <c r="Z34" i="6" s="1"/>
  <c r="T33" i="6"/>
  <c r="Z33" i="6" s="1"/>
  <c r="L52" i="6"/>
  <c r="L51" i="6"/>
  <c r="L50" i="6"/>
  <c r="L49" i="6"/>
  <c r="L48" i="6"/>
  <c r="L46" i="6"/>
  <c r="L45" i="6"/>
  <c r="L44" i="6"/>
  <c r="L43" i="6"/>
  <c r="L42" i="6"/>
  <c r="L41" i="6"/>
  <c r="L39" i="6"/>
  <c r="L37" i="6"/>
  <c r="L36" i="6"/>
  <c r="L35" i="6"/>
  <c r="L34" i="6"/>
  <c r="L33" i="6"/>
  <c r="J52" i="6"/>
  <c r="J51" i="6"/>
  <c r="J50" i="6"/>
  <c r="J49" i="6"/>
  <c r="J48" i="6"/>
  <c r="J46" i="6"/>
  <c r="J45" i="6"/>
  <c r="J44" i="6"/>
  <c r="J43" i="6"/>
  <c r="J42" i="6"/>
  <c r="J41" i="6"/>
  <c r="J39" i="6"/>
  <c r="J37" i="6"/>
  <c r="J36" i="6"/>
  <c r="J35" i="6"/>
  <c r="J34" i="6"/>
  <c r="J33" i="6"/>
  <c r="X28" i="6"/>
  <c r="X27" i="6"/>
  <c r="X20" i="6"/>
  <c r="X19" i="6"/>
  <c r="X16" i="6"/>
  <c r="X15" i="6"/>
  <c r="T29" i="6"/>
  <c r="Z29" i="6" s="1"/>
  <c r="T28" i="6"/>
  <c r="T27" i="6"/>
  <c r="Z27" i="6" s="1"/>
  <c r="T26" i="6"/>
  <c r="T25" i="6"/>
  <c r="Z25" i="6" s="1"/>
  <c r="I30" i="18" s="1"/>
  <c r="T24" i="6"/>
  <c r="T23" i="6"/>
  <c r="Z23" i="6" s="1"/>
  <c r="T21" i="6"/>
  <c r="Z21" i="6" s="1"/>
  <c r="I8" i="18" s="1"/>
  <c r="T20" i="6"/>
  <c r="Z20" i="6" s="1"/>
  <c r="T19" i="6"/>
  <c r="Z19" i="6" s="1"/>
  <c r="T18" i="6"/>
  <c r="Z18" i="6" s="1"/>
  <c r="T17" i="6"/>
  <c r="Z17" i="6" s="1"/>
  <c r="T16" i="6"/>
  <c r="Z16" i="6" s="1"/>
  <c r="Z15" i="6"/>
  <c r="L29" i="6"/>
  <c r="L28" i="6"/>
  <c r="L27" i="6"/>
  <c r="L26" i="6"/>
  <c r="L25" i="6"/>
  <c r="L24" i="6"/>
  <c r="L23" i="6"/>
  <c r="L21" i="6"/>
  <c r="L20" i="6"/>
  <c r="L19" i="6"/>
  <c r="L18" i="6"/>
  <c r="L17" i="6"/>
  <c r="L16" i="6"/>
  <c r="L15" i="6"/>
  <c r="J29" i="6"/>
  <c r="J28" i="6"/>
  <c r="J27" i="6"/>
  <c r="J26" i="6"/>
  <c r="J25" i="6"/>
  <c r="J24" i="6"/>
  <c r="J23" i="6"/>
  <c r="J21" i="6"/>
  <c r="J20" i="6"/>
  <c r="J19" i="6"/>
  <c r="J18" i="6"/>
  <c r="J17" i="6"/>
  <c r="J16" i="6"/>
  <c r="J15" i="6"/>
  <c r="T13" i="6"/>
  <c r="Z13" i="6" s="1"/>
  <c r="T12" i="6"/>
  <c r="T11" i="6"/>
  <c r="Z11" i="6" s="1"/>
  <c r="AB11" i="6" s="1"/>
  <c r="T10" i="6"/>
  <c r="T9" i="6"/>
  <c r="T8" i="6"/>
  <c r="Z8" i="6" s="1"/>
  <c r="AB8" i="6" s="1"/>
  <c r="T7" i="6"/>
  <c r="Z7" i="6" s="1"/>
  <c r="AB7" i="6" s="1"/>
  <c r="T6" i="6"/>
  <c r="Z6" i="6" s="1"/>
  <c r="L7" i="6"/>
  <c r="L13" i="6"/>
  <c r="L12" i="6"/>
  <c r="J13" i="6"/>
  <c r="J12" i="6"/>
  <c r="J8" i="6"/>
  <c r="J7" i="6"/>
  <c r="J6" i="6"/>
  <c r="X125" i="5"/>
  <c r="T141" i="5"/>
  <c r="Z141" i="5" s="1"/>
  <c r="T138" i="5"/>
  <c r="Z138" i="5" s="1"/>
  <c r="T137" i="5"/>
  <c r="Z137" i="5" s="1"/>
  <c r="T136" i="5"/>
  <c r="T133" i="5"/>
  <c r="T132" i="5"/>
  <c r="Z132" i="5" s="1"/>
  <c r="T130" i="5"/>
  <c r="Z130" i="5" s="1"/>
  <c r="T129" i="5"/>
  <c r="T128" i="5"/>
  <c r="Z128" i="5" s="1"/>
  <c r="V127" i="5"/>
  <c r="X127" i="5" s="1"/>
  <c r="T126" i="5"/>
  <c r="T125" i="5"/>
  <c r="Z125" i="5" s="1"/>
  <c r="T124" i="5"/>
  <c r="Z124" i="5" s="1"/>
  <c r="T122" i="5"/>
  <c r="Z122" i="5" s="1"/>
  <c r="T121" i="5"/>
  <c r="Z121" i="5" s="1"/>
  <c r="T120" i="5"/>
  <c r="Z120" i="5" s="1"/>
  <c r="T119" i="5"/>
  <c r="Z119" i="5" s="1"/>
  <c r="T118" i="5"/>
  <c r="Z118" i="5" s="1"/>
  <c r="T117" i="5"/>
  <c r="Z117" i="5" s="1"/>
  <c r="T114" i="5"/>
  <c r="T113" i="5"/>
  <c r="Z113" i="5" s="1"/>
  <c r="T112" i="5"/>
  <c r="Z112" i="5" s="1"/>
  <c r="I351" i="18" s="1"/>
  <c r="T111" i="5"/>
  <c r="I350" i="18" s="1"/>
  <c r="L141" i="5"/>
  <c r="L140" i="5"/>
  <c r="L138" i="5"/>
  <c r="L137" i="5"/>
  <c r="L136" i="5"/>
  <c r="L135" i="5"/>
  <c r="L133" i="5"/>
  <c r="L132" i="5"/>
  <c r="L130" i="5"/>
  <c r="L128" i="5"/>
  <c r="L127" i="5"/>
  <c r="L126" i="5"/>
  <c r="L125" i="5"/>
  <c r="L124" i="5"/>
  <c r="L122" i="5"/>
  <c r="L121" i="5"/>
  <c r="L120" i="5"/>
  <c r="L119" i="5"/>
  <c r="L118" i="5"/>
  <c r="L117" i="5"/>
  <c r="L115" i="5"/>
  <c r="L114" i="5"/>
  <c r="L113" i="5"/>
  <c r="L112" i="5"/>
  <c r="L111" i="5"/>
  <c r="J141" i="5"/>
  <c r="J140" i="5"/>
  <c r="J138" i="5"/>
  <c r="J137" i="5"/>
  <c r="J136" i="5"/>
  <c r="J135" i="5"/>
  <c r="J133" i="5"/>
  <c r="J132" i="5"/>
  <c r="J130" i="5"/>
  <c r="J128" i="5"/>
  <c r="J127" i="5"/>
  <c r="J126" i="5"/>
  <c r="J125" i="5"/>
  <c r="J124" i="5"/>
  <c r="J122" i="5"/>
  <c r="J121" i="5"/>
  <c r="J120" i="5"/>
  <c r="J119" i="5"/>
  <c r="J118" i="5"/>
  <c r="J117" i="5"/>
  <c r="J115" i="5"/>
  <c r="J114" i="5"/>
  <c r="J113" i="5"/>
  <c r="J112" i="5"/>
  <c r="J111" i="5"/>
  <c r="T108" i="5"/>
  <c r="Z108" i="5" s="1"/>
  <c r="T107" i="5"/>
  <c r="Z107" i="5" s="1"/>
  <c r="T106" i="5"/>
  <c r="Z106" i="5" s="1"/>
  <c r="T104" i="5"/>
  <c r="Z104" i="5" s="1"/>
  <c r="T103" i="5"/>
  <c r="Z103" i="5" s="1"/>
  <c r="T102" i="5"/>
  <c r="Z102" i="5" s="1"/>
  <c r="T101" i="5"/>
  <c r="Z101" i="5" s="1"/>
  <c r="T100" i="5"/>
  <c r="Z100" i="5" s="1"/>
  <c r="T98" i="5"/>
  <c r="Z98" i="5" s="1"/>
  <c r="T97" i="5"/>
  <c r="Z97" i="5" s="1"/>
  <c r="T96" i="5"/>
  <c r="Z96" i="5" s="1"/>
  <c r="T95" i="5"/>
  <c r="Z95" i="5" s="1"/>
  <c r="T93" i="5"/>
  <c r="Z93" i="5" s="1"/>
  <c r="I283" i="18" s="1"/>
  <c r="T91" i="5"/>
  <c r="Z91" i="5" s="1"/>
  <c r="I337" i="18" s="1"/>
  <c r="T90" i="5"/>
  <c r="Z90" i="5" s="1"/>
  <c r="T89" i="5"/>
  <c r="T88" i="5"/>
  <c r="T87" i="5"/>
  <c r="Z87" i="5" s="1"/>
  <c r="T86" i="5"/>
  <c r="Z86" i="5" s="1"/>
  <c r="I332" i="18" s="1"/>
  <c r="T83" i="5"/>
  <c r="Z83" i="5" s="1"/>
  <c r="T82" i="5"/>
  <c r="Z82" i="5" s="1"/>
  <c r="T81" i="5"/>
  <c r="Z81" i="5" s="1"/>
  <c r="V80" i="5"/>
  <c r="X80" i="5" s="1"/>
  <c r="X79" i="5"/>
  <c r="L108" i="5"/>
  <c r="L107" i="5"/>
  <c r="L106" i="5"/>
  <c r="L104" i="5"/>
  <c r="L103" i="5"/>
  <c r="L102" i="5"/>
  <c r="L101" i="5"/>
  <c r="L100" i="5"/>
  <c r="L98" i="5"/>
  <c r="L97" i="5"/>
  <c r="L96" i="5"/>
  <c r="L95" i="5"/>
  <c r="L93" i="5"/>
  <c r="L92" i="5" s="1"/>
  <c r="H187" i="8" s="1"/>
  <c r="L90" i="5"/>
  <c r="L88" i="5"/>
  <c r="L87" i="5"/>
  <c r="L86" i="5"/>
  <c r="L84" i="5"/>
  <c r="L83" i="5"/>
  <c r="L82" i="5"/>
  <c r="L81" i="5"/>
  <c r="L80" i="5"/>
  <c r="L79" i="5"/>
  <c r="J108" i="5"/>
  <c r="J107" i="5"/>
  <c r="J106" i="5"/>
  <c r="J104" i="5"/>
  <c r="J103" i="5"/>
  <c r="J102" i="5"/>
  <c r="J101" i="5"/>
  <c r="J100" i="5"/>
  <c r="J98" i="5"/>
  <c r="J97" i="5"/>
  <c r="J96" i="5"/>
  <c r="J95" i="5"/>
  <c r="J93" i="5"/>
  <c r="J92" i="5" s="1"/>
  <c r="E187" i="8" s="1"/>
  <c r="J90" i="5"/>
  <c r="J88" i="5"/>
  <c r="J87" i="5"/>
  <c r="J86" i="5"/>
  <c r="J84" i="5"/>
  <c r="J83" i="5"/>
  <c r="J82" i="5"/>
  <c r="J81" i="5"/>
  <c r="J80" i="5"/>
  <c r="J79" i="5"/>
  <c r="T76" i="5"/>
  <c r="Z76" i="5" s="1"/>
  <c r="T75" i="5"/>
  <c r="Z75" i="5" s="1"/>
  <c r="I324" i="18" s="1"/>
  <c r="T73" i="5"/>
  <c r="Z73" i="5" s="1"/>
  <c r="T72" i="5"/>
  <c r="Z72" i="5" s="1"/>
  <c r="T71" i="5"/>
  <c r="Z71" i="5" s="1"/>
  <c r="T69" i="5"/>
  <c r="Z69" i="5" s="1"/>
  <c r="T67" i="5"/>
  <c r="Z67" i="5" s="1"/>
  <c r="T65" i="5"/>
  <c r="Z65" i="5" s="1"/>
  <c r="T64" i="5"/>
  <c r="Z64" i="5" s="1"/>
  <c r="T63" i="5"/>
  <c r="Z63" i="5" s="1"/>
  <c r="T62" i="5"/>
  <c r="Z62" i="5" s="1"/>
  <c r="T60" i="5"/>
  <c r="Z60" i="5" s="1"/>
  <c r="T59" i="5"/>
  <c r="L76" i="5"/>
  <c r="L75" i="5"/>
  <c r="J76" i="5"/>
  <c r="J75" i="5"/>
  <c r="L73" i="5"/>
  <c r="L72" i="5"/>
  <c r="L71" i="5"/>
  <c r="L70" i="5"/>
  <c r="L69" i="5"/>
  <c r="J73" i="5"/>
  <c r="J72" i="5"/>
  <c r="J71" i="5"/>
  <c r="J70" i="5"/>
  <c r="J69" i="5"/>
  <c r="L67" i="5"/>
  <c r="L66" i="5" s="1"/>
  <c r="H181" i="8" s="1"/>
  <c r="J67" i="5"/>
  <c r="J66" i="5" s="1"/>
  <c r="E181" i="8" s="1"/>
  <c r="L65" i="5"/>
  <c r="L64" i="5"/>
  <c r="L63" i="5"/>
  <c r="L62" i="5"/>
  <c r="J65" i="5"/>
  <c r="J64" i="5"/>
  <c r="J63" i="5"/>
  <c r="J62" i="5"/>
  <c r="L60" i="5"/>
  <c r="L59" i="5"/>
  <c r="J60" i="5"/>
  <c r="J59" i="5"/>
  <c r="T56" i="5"/>
  <c r="Z56" i="5" s="1"/>
  <c r="I282" i="18" s="1"/>
  <c r="V54" i="5"/>
  <c r="X54" i="5" s="1"/>
  <c r="T53" i="5"/>
  <c r="Z53" i="5" s="1"/>
  <c r="T52" i="5"/>
  <c r="Z52" i="5" s="1"/>
  <c r="T51" i="5"/>
  <c r="Z51" i="5" s="1"/>
  <c r="T50" i="5"/>
  <c r="Z50" i="5" s="1"/>
  <c r="L56" i="5"/>
  <c r="L55" i="5" s="1"/>
  <c r="H177" i="8" s="1"/>
  <c r="J56" i="5"/>
  <c r="J55" i="5" s="1"/>
  <c r="E177" i="8" s="1"/>
  <c r="L54" i="5"/>
  <c r="L53" i="5"/>
  <c r="L52" i="5"/>
  <c r="L51" i="5"/>
  <c r="L50" i="5"/>
  <c r="J53" i="5"/>
  <c r="J52" i="5"/>
  <c r="J51" i="5"/>
  <c r="J50" i="5"/>
  <c r="X42" i="5"/>
  <c r="T47" i="5"/>
  <c r="Z47" i="5" s="1"/>
  <c r="T46" i="5"/>
  <c r="Z46" i="5" s="1"/>
  <c r="T45" i="5"/>
  <c r="Z45" i="5" s="1"/>
  <c r="T44" i="5"/>
  <c r="Z44" i="5" s="1"/>
  <c r="T42" i="5"/>
  <c r="Z42" i="5" s="1"/>
  <c r="T39" i="5"/>
  <c r="T38" i="5"/>
  <c r="Z38" i="5" s="1"/>
  <c r="T35" i="5"/>
  <c r="Z35" i="5" s="1"/>
  <c r="T34" i="5"/>
  <c r="Z34" i="5" s="1"/>
  <c r="T33" i="5"/>
  <c r="Z33" i="5" s="1"/>
  <c r="I277" i="18" s="1"/>
  <c r="T31" i="5"/>
  <c r="Z31" i="5" s="1"/>
  <c r="I299" i="18" s="1"/>
  <c r="T28" i="5"/>
  <c r="Z28" i="5" s="1"/>
  <c r="I297" i="18" s="1"/>
  <c r="T27" i="5"/>
  <c r="Z27" i="5" s="1"/>
  <c r="T25" i="5"/>
  <c r="Z25" i="5" s="1"/>
  <c r="T24" i="5"/>
  <c r="Z24" i="5" s="1"/>
  <c r="I294" i="18" s="1"/>
  <c r="T22" i="5"/>
  <c r="Z22" i="5" s="1"/>
  <c r="T21" i="5"/>
  <c r="Z21" i="5" s="1"/>
  <c r="T20" i="5"/>
  <c r="Z20" i="5" s="1"/>
  <c r="L47" i="5"/>
  <c r="L46" i="5"/>
  <c r="L45" i="5"/>
  <c r="L44" i="5"/>
  <c r="L42" i="5"/>
  <c r="L41" i="5"/>
  <c r="L39" i="5"/>
  <c r="L38" i="5"/>
  <c r="L37" i="5"/>
  <c r="L35" i="5"/>
  <c r="L34" i="5"/>
  <c r="L33" i="5"/>
  <c r="L31" i="5"/>
  <c r="L30" i="5" s="1"/>
  <c r="H170" i="8" s="1"/>
  <c r="L28" i="5"/>
  <c r="L27" i="5"/>
  <c r="L25" i="5"/>
  <c r="L24" i="5"/>
  <c r="L22" i="5"/>
  <c r="L21" i="5"/>
  <c r="L20" i="5"/>
  <c r="L19" i="5"/>
  <c r="J47" i="5"/>
  <c r="J46" i="5"/>
  <c r="J45" i="5"/>
  <c r="J44" i="5"/>
  <c r="J42" i="5"/>
  <c r="J41" i="5"/>
  <c r="J39" i="5"/>
  <c r="J38" i="5"/>
  <c r="J37" i="5"/>
  <c r="J35" i="5"/>
  <c r="J34" i="5"/>
  <c r="J33" i="5"/>
  <c r="J31" i="5"/>
  <c r="J30" i="5" s="1"/>
  <c r="E170" i="8" s="1"/>
  <c r="J28" i="5"/>
  <c r="J27" i="5"/>
  <c r="J25" i="5"/>
  <c r="J24" i="5"/>
  <c r="J22" i="5"/>
  <c r="J21" i="5"/>
  <c r="J20" i="5"/>
  <c r="J19" i="5"/>
  <c r="T16" i="5"/>
  <c r="T15" i="5"/>
  <c r="Z15" i="5" s="1"/>
  <c r="T14" i="5"/>
  <c r="Z14" i="5" s="1"/>
  <c r="T13" i="5"/>
  <c r="Z13" i="5" s="1"/>
  <c r="T11" i="5"/>
  <c r="Z11" i="5" s="1"/>
  <c r="T10" i="5"/>
  <c r="Z10" i="5" s="1"/>
  <c r="I284" i="18" s="1"/>
  <c r="T8" i="5"/>
  <c r="AB8" i="5" s="1"/>
  <c r="J6" i="5"/>
  <c r="L6" i="5"/>
  <c r="L16" i="5"/>
  <c r="L15" i="5"/>
  <c r="L14" i="5"/>
  <c r="L13" i="5"/>
  <c r="J16" i="5"/>
  <c r="J15" i="5"/>
  <c r="J14" i="5"/>
  <c r="J13" i="5"/>
  <c r="L8" i="5"/>
  <c r="L11" i="5"/>
  <c r="L10" i="5"/>
  <c r="J8" i="5"/>
  <c r="J11" i="5"/>
  <c r="J10" i="5"/>
  <c r="X170" i="4"/>
  <c r="T171" i="4"/>
  <c r="T170" i="4"/>
  <c r="L168" i="4"/>
  <c r="H160" i="8" s="1"/>
  <c r="H159" i="8" s="1"/>
  <c r="J168" i="4"/>
  <c r="E160" i="8" s="1"/>
  <c r="E159" i="8" s="1"/>
  <c r="X166" i="4"/>
  <c r="X165" i="4"/>
  <c r="X164" i="4"/>
  <c r="X161" i="4"/>
  <c r="X160" i="4"/>
  <c r="X158" i="4"/>
  <c r="X157" i="4"/>
  <c r="X155" i="4"/>
  <c r="X163" i="4"/>
  <c r="X162" i="4"/>
  <c r="X139" i="4"/>
  <c r="T166" i="4"/>
  <c r="T165" i="4"/>
  <c r="T164" i="4"/>
  <c r="T163" i="4"/>
  <c r="T162" i="4"/>
  <c r="T161" i="4"/>
  <c r="T160" i="4"/>
  <c r="T158" i="4"/>
  <c r="T157" i="4"/>
  <c r="Z157" i="4" s="1"/>
  <c r="V156" i="4"/>
  <c r="T155" i="4"/>
  <c r="T154" i="4"/>
  <c r="Z154" i="4" s="1"/>
  <c r="T153" i="4"/>
  <c r="Z153" i="4" s="1"/>
  <c r="T152" i="4"/>
  <c r="Z152" i="4" s="1"/>
  <c r="T151" i="4"/>
  <c r="Z151" i="4" s="1"/>
  <c r="T149" i="4"/>
  <c r="Z149" i="4" s="1"/>
  <c r="T148" i="4"/>
  <c r="Z148" i="4" s="1"/>
  <c r="T147" i="4"/>
  <c r="AB147" i="4" s="1"/>
  <c r="T146" i="4"/>
  <c r="T145" i="4"/>
  <c r="Z145" i="4" s="1"/>
  <c r="T139" i="4"/>
  <c r="AB139" i="4" s="1"/>
  <c r="V138" i="4"/>
  <c r="X138" i="4" s="1"/>
  <c r="T137" i="4"/>
  <c r="Z137" i="4" s="1"/>
  <c r="L166" i="4"/>
  <c r="L165" i="4"/>
  <c r="L164" i="4"/>
  <c r="L163" i="4"/>
  <c r="L162" i="4"/>
  <c r="L161" i="4"/>
  <c r="L160" i="4"/>
  <c r="L158" i="4"/>
  <c r="L157" i="4"/>
  <c r="L156" i="4"/>
  <c r="L155" i="4"/>
  <c r="L154" i="4"/>
  <c r="L152" i="4"/>
  <c r="L151" i="4"/>
  <c r="L149" i="4"/>
  <c r="L148" i="4"/>
  <c r="L147" i="4"/>
  <c r="L146" i="4"/>
  <c r="L145" i="4"/>
  <c r="L141" i="4"/>
  <c r="L139" i="4"/>
  <c r="L138" i="4"/>
  <c r="L137" i="4"/>
  <c r="J166" i="4"/>
  <c r="J165" i="4"/>
  <c r="J164" i="4"/>
  <c r="J163" i="4"/>
  <c r="J162" i="4"/>
  <c r="J161" i="4"/>
  <c r="J160" i="4"/>
  <c r="J158" i="4"/>
  <c r="J157" i="4"/>
  <c r="J156" i="4"/>
  <c r="J155" i="4"/>
  <c r="J154" i="4"/>
  <c r="J152" i="4"/>
  <c r="J151" i="4"/>
  <c r="J149" i="4"/>
  <c r="J148" i="4"/>
  <c r="J147" i="4"/>
  <c r="J146" i="4"/>
  <c r="J145" i="4"/>
  <c r="J141" i="4"/>
  <c r="J139" i="4"/>
  <c r="J138" i="4"/>
  <c r="J137" i="4"/>
  <c r="AA98" i="4"/>
  <c r="T133" i="4"/>
  <c r="T132" i="4"/>
  <c r="T131" i="4"/>
  <c r="Z131" i="4" s="1"/>
  <c r="T130" i="4"/>
  <c r="AB130" i="4" s="1"/>
  <c r="T129" i="4"/>
  <c r="Z129" i="4" s="1"/>
  <c r="T128" i="4"/>
  <c r="Z128" i="4" s="1"/>
  <c r="T127" i="4"/>
  <c r="T126" i="4"/>
  <c r="AB126" i="4" s="1"/>
  <c r="T125" i="4"/>
  <c r="Z125" i="4" s="1"/>
  <c r="T124" i="4"/>
  <c r="AB124" i="4" s="1"/>
  <c r="T123" i="4"/>
  <c r="Z123" i="4" s="1"/>
  <c r="T122" i="4"/>
  <c r="Z122" i="4" s="1"/>
  <c r="I73" i="18" s="1"/>
  <c r="T120" i="4"/>
  <c r="Z120" i="4" s="1"/>
  <c r="T119" i="4"/>
  <c r="Z119" i="4" s="1"/>
  <c r="T118" i="4"/>
  <c r="Z118" i="4" s="1"/>
  <c r="T117" i="4"/>
  <c r="Z117" i="4" s="1"/>
  <c r="T116" i="4"/>
  <c r="Z116" i="4" s="1"/>
  <c r="T115" i="4"/>
  <c r="Z115" i="4" s="1"/>
  <c r="T114" i="4"/>
  <c r="Z114" i="4" s="1"/>
  <c r="T113" i="4"/>
  <c r="Z113" i="4" s="1"/>
  <c r="T112" i="4"/>
  <c r="Z112" i="4" s="1"/>
  <c r="T111" i="4"/>
  <c r="Z111" i="4" s="1"/>
  <c r="T110" i="4"/>
  <c r="Z110" i="4" s="1"/>
  <c r="I62" i="18" s="1"/>
  <c r="T108" i="4"/>
  <c r="Z108" i="4" s="1"/>
  <c r="T106" i="4"/>
  <c r="Z106" i="4" s="1"/>
  <c r="I48" i="18" s="1"/>
  <c r="T102" i="4"/>
  <c r="I58" i="18"/>
  <c r="T99" i="4"/>
  <c r="Z99" i="4" s="1"/>
  <c r="I47" i="18" s="1"/>
  <c r="L134" i="4"/>
  <c r="L132" i="4"/>
  <c r="L131" i="4"/>
  <c r="L130" i="4"/>
  <c r="L129" i="4"/>
  <c r="L128" i="4"/>
  <c r="L127" i="4"/>
  <c r="L126" i="4"/>
  <c r="L124" i="4"/>
  <c r="L123" i="4"/>
  <c r="L120" i="4"/>
  <c r="L119" i="4"/>
  <c r="L118" i="4"/>
  <c r="L117" i="4"/>
  <c r="L116" i="4"/>
  <c r="L115" i="4"/>
  <c r="L114" i="4"/>
  <c r="L113" i="4"/>
  <c r="L112" i="4"/>
  <c r="L111" i="4"/>
  <c r="L110" i="4"/>
  <c r="L104" i="4"/>
  <c r="L102" i="4"/>
  <c r="L101" i="4"/>
  <c r="J134" i="4"/>
  <c r="J132" i="4"/>
  <c r="J131" i="4"/>
  <c r="J130" i="4"/>
  <c r="J129" i="4"/>
  <c r="J128" i="4"/>
  <c r="J127" i="4"/>
  <c r="J126" i="4"/>
  <c r="J124" i="4"/>
  <c r="J123" i="4"/>
  <c r="J120" i="4"/>
  <c r="J119" i="4"/>
  <c r="J118" i="4"/>
  <c r="J117" i="4"/>
  <c r="J116" i="4"/>
  <c r="J115" i="4"/>
  <c r="J114" i="4"/>
  <c r="J113" i="4"/>
  <c r="J112" i="4"/>
  <c r="J111" i="4"/>
  <c r="J110" i="4"/>
  <c r="E150" i="8"/>
  <c r="J104" i="4"/>
  <c r="J103" i="4"/>
  <c r="J102" i="4"/>
  <c r="J101" i="4"/>
  <c r="L99" i="4"/>
  <c r="L98" i="4" s="1"/>
  <c r="K99" i="4"/>
  <c r="K98" i="4" s="1"/>
  <c r="J99" i="4"/>
  <c r="J98" i="4" s="1"/>
  <c r="I99" i="4"/>
  <c r="I98" i="4" s="1"/>
  <c r="L96" i="4"/>
  <c r="L95" i="4" s="1"/>
  <c r="H146" i="8" s="1"/>
  <c r="L94" i="4"/>
  <c r="L93" i="4"/>
  <c r="L92" i="4"/>
  <c r="L90" i="4"/>
  <c r="L89" i="4"/>
  <c r="L88" i="4"/>
  <c r="L87" i="4"/>
  <c r="L86" i="4"/>
  <c r="L85" i="4"/>
  <c r="L84" i="4"/>
  <c r="J96" i="4"/>
  <c r="J95" i="4" s="1"/>
  <c r="E146" i="8" s="1"/>
  <c r="J94" i="4"/>
  <c r="J93" i="4"/>
  <c r="J92" i="4"/>
  <c r="J87" i="4"/>
  <c r="J84" i="4"/>
  <c r="J90" i="4"/>
  <c r="J89" i="4"/>
  <c r="J88" i="4"/>
  <c r="J86" i="4"/>
  <c r="J85" i="4"/>
  <c r="T96" i="4"/>
  <c r="Z96" i="4" s="1"/>
  <c r="I174" i="18" s="1"/>
  <c r="T94" i="4"/>
  <c r="Z94" i="4" s="1"/>
  <c r="T93" i="4"/>
  <c r="AB93" i="4" s="1"/>
  <c r="V92" i="4"/>
  <c r="T89" i="4"/>
  <c r="Z89" i="4" s="1"/>
  <c r="V87" i="4"/>
  <c r="X87" i="4" s="1"/>
  <c r="T86" i="4"/>
  <c r="Z86" i="4" s="1"/>
  <c r="T85" i="4"/>
  <c r="Z85" i="4" s="1"/>
  <c r="X93" i="4"/>
  <c r="V90" i="4"/>
  <c r="X90" i="4" s="1"/>
  <c r="T81" i="4"/>
  <c r="T80" i="4"/>
  <c r="Z80" i="4" s="1"/>
  <c r="T76" i="4"/>
  <c r="T75" i="4"/>
  <c r="Z75" i="4" s="1"/>
  <c r="T74" i="4"/>
  <c r="V72" i="4"/>
  <c r="X72" i="4" s="1"/>
  <c r="T71" i="4"/>
  <c r="T70" i="4"/>
  <c r="Z70" i="4" s="1"/>
  <c r="X68" i="4"/>
  <c r="X67" i="4"/>
  <c r="T66" i="4"/>
  <c r="Z66" i="4" s="1"/>
  <c r="T65" i="4"/>
  <c r="T63" i="4"/>
  <c r="Z63" i="4" s="1"/>
  <c r="T62" i="4"/>
  <c r="Z62" i="4" s="1"/>
  <c r="I152" i="18" s="1"/>
  <c r="L81" i="4"/>
  <c r="L80" i="4"/>
  <c r="L78" i="4"/>
  <c r="L77" i="4" s="1"/>
  <c r="H141" i="8" s="1"/>
  <c r="L75" i="4"/>
  <c r="L74" i="4"/>
  <c r="L72" i="4"/>
  <c r="L71" i="4"/>
  <c r="L70" i="4"/>
  <c r="L68" i="4"/>
  <c r="L67" i="4"/>
  <c r="L66" i="4"/>
  <c r="L65" i="4"/>
  <c r="L63" i="4"/>
  <c r="L62" i="4"/>
  <c r="J81" i="4"/>
  <c r="J80" i="4"/>
  <c r="J78" i="4"/>
  <c r="J77" i="4" s="1"/>
  <c r="E141" i="8" s="1"/>
  <c r="J75" i="4"/>
  <c r="J74" i="4"/>
  <c r="J72" i="4"/>
  <c r="J71" i="4"/>
  <c r="J70" i="4"/>
  <c r="J68" i="4"/>
  <c r="J67" i="4"/>
  <c r="J66" i="4"/>
  <c r="J65" i="4"/>
  <c r="J63" i="4"/>
  <c r="J62" i="4"/>
  <c r="T59" i="4"/>
  <c r="Z59" i="4" s="1"/>
  <c r="I151" i="18" s="1"/>
  <c r="T58" i="4"/>
  <c r="Z58" i="4" s="1"/>
  <c r="T56" i="4"/>
  <c r="T55" i="4"/>
  <c r="Z55" i="4" s="1"/>
  <c r="T54" i="4"/>
  <c r="Z54" i="4" s="1"/>
  <c r="I147" i="18" s="1"/>
  <c r="T52" i="4"/>
  <c r="Z52" i="4" s="1"/>
  <c r="T51" i="4"/>
  <c r="Z51" i="4" s="1"/>
  <c r="I145" i="18" s="1"/>
  <c r="T49" i="4"/>
  <c r="Z49" i="4" s="1"/>
  <c r="T48" i="4"/>
  <c r="Z48" i="4" s="1"/>
  <c r="T47" i="4"/>
  <c r="Z47" i="4" s="1"/>
  <c r="T45" i="4"/>
  <c r="Z45" i="4" s="1"/>
  <c r="T44" i="4"/>
  <c r="T43" i="4"/>
  <c r="T42" i="4"/>
  <c r="T41" i="4"/>
  <c r="Z41" i="4" s="1"/>
  <c r="T40" i="4"/>
  <c r="Z40" i="4" s="1"/>
  <c r="T39" i="4"/>
  <c r="L59" i="4"/>
  <c r="L58" i="4"/>
  <c r="L56" i="4"/>
  <c r="L55" i="4"/>
  <c r="L54" i="4"/>
  <c r="L52" i="4"/>
  <c r="L51" i="4"/>
  <c r="L49" i="4"/>
  <c r="L48" i="4"/>
  <c r="L47" i="4"/>
  <c r="L43" i="4"/>
  <c r="L41" i="4"/>
  <c r="L40" i="4"/>
  <c r="J58" i="4"/>
  <c r="J55" i="4"/>
  <c r="J54" i="4"/>
  <c r="J52" i="4"/>
  <c r="J51" i="4"/>
  <c r="J49" i="4"/>
  <c r="J48" i="4"/>
  <c r="J47" i="4"/>
  <c r="J43" i="4"/>
  <c r="J41" i="4"/>
  <c r="J40" i="4"/>
  <c r="U27" i="4"/>
  <c r="X36" i="4"/>
  <c r="T35" i="4"/>
  <c r="T34" i="4"/>
  <c r="Z34" i="4" s="1"/>
  <c r="T32" i="4"/>
  <c r="T31" i="4"/>
  <c r="Z31" i="4" s="1"/>
  <c r="T30" i="4"/>
  <c r="Z30" i="4" s="1"/>
  <c r="T29" i="4"/>
  <c r="Z29" i="4" s="1"/>
  <c r="T28" i="4"/>
  <c r="Z28" i="4" s="1"/>
  <c r="L36" i="4"/>
  <c r="L35" i="4"/>
  <c r="L34" i="4"/>
  <c r="L32" i="4"/>
  <c r="L31" i="4"/>
  <c r="L30" i="4"/>
  <c r="L29" i="4"/>
  <c r="L28" i="4"/>
  <c r="J36" i="4"/>
  <c r="J35" i="4"/>
  <c r="J34" i="4"/>
  <c r="J32" i="4"/>
  <c r="J31" i="4"/>
  <c r="J30" i="4"/>
  <c r="J29" i="4"/>
  <c r="J28" i="4"/>
  <c r="T25" i="4"/>
  <c r="Z25" i="4" s="1"/>
  <c r="T24" i="4"/>
  <c r="Z24" i="4" s="1"/>
  <c r="T23" i="4"/>
  <c r="L25" i="4"/>
  <c r="L24" i="4"/>
  <c r="L23" i="4"/>
  <c r="J25" i="4"/>
  <c r="J24" i="4"/>
  <c r="J23" i="4"/>
  <c r="X16" i="4"/>
  <c r="T7" i="4"/>
  <c r="Z7" i="4" s="1"/>
  <c r="T8" i="4"/>
  <c r="T9" i="4"/>
  <c r="T10" i="4"/>
  <c r="T11" i="4"/>
  <c r="V13" i="4"/>
  <c r="X13" i="4" s="1"/>
  <c r="V14" i="4"/>
  <c r="X14" i="4" s="1"/>
  <c r="T15" i="4"/>
  <c r="Z15" i="4" s="1"/>
  <c r="T16" i="4"/>
  <c r="Z16" i="4" s="1"/>
  <c r="T17" i="4"/>
  <c r="Z17" i="4" s="1"/>
  <c r="V18" i="4"/>
  <c r="X18" i="4" s="1"/>
  <c r="T19" i="4"/>
  <c r="Z19" i="4" s="1"/>
  <c r="T6" i="4"/>
  <c r="Z6" i="4" s="1"/>
  <c r="L7" i="4"/>
  <c r="L21" i="4"/>
  <c r="L20" i="4"/>
  <c r="L19" i="4"/>
  <c r="L18" i="4"/>
  <c r="L17" i="4"/>
  <c r="L16" i="4"/>
  <c r="L15" i="4"/>
  <c r="L14" i="4"/>
  <c r="L13" i="4"/>
  <c r="L12" i="4"/>
  <c r="L11" i="4"/>
  <c r="L10" i="4"/>
  <c r="L9" i="4"/>
  <c r="L8" i="4"/>
  <c r="L6" i="4"/>
  <c r="J21" i="4"/>
  <c r="J18" i="4"/>
  <c r="J17" i="4"/>
  <c r="J13" i="4"/>
  <c r="J7" i="4"/>
  <c r="J6" i="4"/>
  <c r="I319" i="18" l="1"/>
  <c r="Z68" i="5"/>
  <c r="I71" i="18"/>
  <c r="AB119" i="4"/>
  <c r="AB19" i="4"/>
  <c r="I121" i="18"/>
  <c r="I34" i="18"/>
  <c r="AB29" i="6"/>
  <c r="I341" i="18"/>
  <c r="AB98" i="5"/>
  <c r="Z94" i="5"/>
  <c r="T84" i="5"/>
  <c r="Z84" i="5" s="1"/>
  <c r="I331" i="18" s="1"/>
  <c r="V84" i="5"/>
  <c r="X84" i="5" s="1"/>
  <c r="I32" i="18"/>
  <c r="AB27" i="6"/>
  <c r="T140" i="5"/>
  <c r="V140" i="5"/>
  <c r="Z43" i="5"/>
  <c r="T41" i="6"/>
  <c r="Z41" i="6" s="1"/>
  <c r="I9" i="18" s="1"/>
  <c r="V41" i="6"/>
  <c r="X41" i="6" s="1"/>
  <c r="Z42" i="6"/>
  <c r="I10" i="18" s="1"/>
  <c r="V42" i="6"/>
  <c r="X42" i="6" s="1"/>
  <c r="T19" i="5"/>
  <c r="Z19" i="5" s="1"/>
  <c r="I290" i="18" s="1"/>
  <c r="V19" i="5"/>
  <c r="T70" i="5"/>
  <c r="Z70" i="5" s="1"/>
  <c r="I320" i="18" s="1"/>
  <c r="V70" i="5"/>
  <c r="X70" i="5" s="1"/>
  <c r="T78" i="4"/>
  <c r="Z78" i="4" s="1"/>
  <c r="Z77" i="4" s="1"/>
  <c r="K141" i="8" s="1"/>
  <c r="E76" i="13" s="1"/>
  <c r="V78" i="4"/>
  <c r="V77" i="4" s="1"/>
  <c r="I141" i="8" s="1"/>
  <c r="AB15" i="6"/>
  <c r="Z14" i="6"/>
  <c r="K201" i="8" s="1"/>
  <c r="E45" i="17" s="1"/>
  <c r="I37" i="18"/>
  <c r="AB34" i="6"/>
  <c r="T7" i="5"/>
  <c r="V7" i="5"/>
  <c r="T135" i="5"/>
  <c r="Z135" i="5" s="1"/>
  <c r="V135" i="5"/>
  <c r="T29" i="5"/>
  <c r="Z29" i="5" s="1"/>
  <c r="Z26" i="5" s="1"/>
  <c r="K169" i="8" s="1"/>
  <c r="E59" i="15" s="1"/>
  <c r="T88" i="4"/>
  <c r="Z88" i="4" s="1"/>
  <c r="AB88" i="4" s="1"/>
  <c r="V88" i="4"/>
  <c r="X88" i="4" s="1"/>
  <c r="I125" i="18"/>
  <c r="AB24" i="4"/>
  <c r="T21" i="4"/>
  <c r="Z21" i="4" s="1"/>
  <c r="V21" i="4"/>
  <c r="X21" i="4" s="1"/>
  <c r="T12" i="4"/>
  <c r="Z12" i="4" s="1"/>
  <c r="I114" i="18" s="1"/>
  <c r="V12" i="4"/>
  <c r="X12" i="4" s="1"/>
  <c r="T107" i="4"/>
  <c r="Z107" i="4" s="1"/>
  <c r="AB107" i="4" s="1"/>
  <c r="V107" i="4"/>
  <c r="V105" i="4" s="1"/>
  <c r="I150" i="8" s="1"/>
  <c r="I36" i="18"/>
  <c r="AB25" i="6"/>
  <c r="T41" i="5"/>
  <c r="Z41" i="5" s="1"/>
  <c r="I280" i="18" s="1"/>
  <c r="AB91" i="5"/>
  <c r="I291" i="18"/>
  <c r="AB20" i="5"/>
  <c r="I20" i="18"/>
  <c r="AA6" i="6"/>
  <c r="AB6" i="6"/>
  <c r="T37" i="5"/>
  <c r="Z37" i="5" s="1"/>
  <c r="I300" i="18" s="1"/>
  <c r="X37" i="5"/>
  <c r="Z39" i="5"/>
  <c r="I302" i="18" s="1"/>
  <c r="T20" i="4"/>
  <c r="Z20" i="4" s="1"/>
  <c r="V20" i="4"/>
  <c r="T156" i="4"/>
  <c r="Z156" i="4" s="1"/>
  <c r="Z150" i="4" s="1"/>
  <c r="Z26" i="6"/>
  <c r="I31" i="18" s="1"/>
  <c r="I28" i="18"/>
  <c r="I137" i="18"/>
  <c r="AB41" i="4"/>
  <c r="Z22" i="4"/>
  <c r="K126" i="8" s="1"/>
  <c r="E49" i="13" s="1"/>
  <c r="AB138" i="5"/>
  <c r="I373" i="18"/>
  <c r="AB132" i="5"/>
  <c r="I368" i="18"/>
  <c r="I342" i="18"/>
  <c r="AB100" i="5"/>
  <c r="AB34" i="5"/>
  <c r="I278" i="18"/>
  <c r="Z59" i="5"/>
  <c r="I312" i="18" s="1"/>
  <c r="AB42" i="5"/>
  <c r="I281" i="18"/>
  <c r="Z88" i="5"/>
  <c r="I334" i="18" s="1"/>
  <c r="V115" i="5"/>
  <c r="X115" i="5" s="1"/>
  <c r="I303" i="18"/>
  <c r="AB44" i="5"/>
  <c r="Z89" i="5"/>
  <c r="I335" i="18" s="1"/>
  <c r="AB130" i="5"/>
  <c r="I367" i="18"/>
  <c r="I338" i="18"/>
  <c r="I306" i="18"/>
  <c r="AB47" i="5"/>
  <c r="Z109" i="4"/>
  <c r="Z99" i="5"/>
  <c r="K189" i="8" s="1"/>
  <c r="E90" i="15" s="1"/>
  <c r="AB25" i="5"/>
  <c r="I295" i="18"/>
  <c r="AB35" i="5"/>
  <c r="I279" i="18"/>
  <c r="AB16" i="5"/>
  <c r="I289" i="18"/>
  <c r="AB15" i="5"/>
  <c r="I288" i="18"/>
  <c r="AB14" i="5"/>
  <c r="I287" i="18"/>
  <c r="AB13" i="5"/>
  <c r="I286" i="18"/>
  <c r="AB38" i="5"/>
  <c r="I301" i="18"/>
  <c r="AB11" i="5"/>
  <c r="I285" i="18"/>
  <c r="AB27" i="5"/>
  <c r="I296" i="18"/>
  <c r="AB51" i="5"/>
  <c r="I308" i="18"/>
  <c r="AB50" i="5"/>
  <c r="I307" i="18"/>
  <c r="AB52" i="5"/>
  <c r="I309" i="18"/>
  <c r="AB53" i="5"/>
  <c r="I310" i="18"/>
  <c r="I108" i="18"/>
  <c r="I128" i="18"/>
  <c r="AB29" i="4"/>
  <c r="I129" i="18"/>
  <c r="AB30" i="4"/>
  <c r="I153" i="18"/>
  <c r="AB63" i="4"/>
  <c r="I127" i="18"/>
  <c r="AB28" i="4"/>
  <c r="I130" i="18"/>
  <c r="Z27" i="4"/>
  <c r="AB141" i="5"/>
  <c r="I375" i="18"/>
  <c r="AB137" i="5"/>
  <c r="I372" i="18"/>
  <c r="AB133" i="5"/>
  <c r="I369" i="18"/>
  <c r="AB128" i="5"/>
  <c r="I365" i="18"/>
  <c r="AB126" i="5"/>
  <c r="I363" i="18"/>
  <c r="AB124" i="5"/>
  <c r="I361" i="18"/>
  <c r="AB122" i="5"/>
  <c r="I360" i="18"/>
  <c r="AB121" i="5"/>
  <c r="I359" i="18"/>
  <c r="AB120" i="5"/>
  <c r="I358" i="18"/>
  <c r="AB119" i="5"/>
  <c r="I357" i="18"/>
  <c r="AB118" i="5"/>
  <c r="I356" i="18"/>
  <c r="AB117" i="5"/>
  <c r="I355" i="18"/>
  <c r="AB114" i="5"/>
  <c r="I353" i="18"/>
  <c r="AB113" i="5"/>
  <c r="I352" i="18"/>
  <c r="T169" i="4"/>
  <c r="Z169" i="4" s="1"/>
  <c r="V169" i="4"/>
  <c r="V168" i="4" s="1"/>
  <c r="AB97" i="5"/>
  <c r="I340" i="18"/>
  <c r="AB96" i="5"/>
  <c r="I339" i="18"/>
  <c r="AB90" i="5"/>
  <c r="I336" i="18"/>
  <c r="AB87" i="5"/>
  <c r="I333" i="18"/>
  <c r="AB83" i="5"/>
  <c r="I330" i="18"/>
  <c r="AB82" i="5"/>
  <c r="I329" i="18"/>
  <c r="AB81" i="5"/>
  <c r="I328" i="18"/>
  <c r="AB76" i="5"/>
  <c r="I325" i="18"/>
  <c r="AB72" i="5"/>
  <c r="I322" i="18"/>
  <c r="AB71" i="5"/>
  <c r="I321" i="18"/>
  <c r="AB73" i="5"/>
  <c r="I323" i="18"/>
  <c r="AB67" i="5"/>
  <c r="AB66" i="5" s="1"/>
  <c r="I318" i="18"/>
  <c r="AB64" i="5"/>
  <c r="I316" i="18"/>
  <c r="AB65" i="5"/>
  <c r="I317" i="18"/>
  <c r="AB63" i="5"/>
  <c r="I315" i="18"/>
  <c r="AB62" i="5"/>
  <c r="I314" i="18"/>
  <c r="AB60" i="5"/>
  <c r="I313" i="18"/>
  <c r="Z57" i="4"/>
  <c r="K135" i="8" s="1"/>
  <c r="E65" i="13" s="1"/>
  <c r="I150" i="18"/>
  <c r="AB58" i="4"/>
  <c r="I124" i="18"/>
  <c r="AB19" i="6"/>
  <c r="I6" i="18"/>
  <c r="AB21" i="6"/>
  <c r="AB35" i="6"/>
  <c r="I38" i="18"/>
  <c r="I21" i="18"/>
  <c r="AB20" i="6"/>
  <c r="I7" i="18"/>
  <c r="AB36" i="6"/>
  <c r="I39" i="18"/>
  <c r="AB46" i="6"/>
  <c r="I14" i="18"/>
  <c r="I2" i="18"/>
  <c r="AB39" i="6"/>
  <c r="I42" i="18"/>
  <c r="AB16" i="6"/>
  <c r="I3" i="18"/>
  <c r="AB17" i="6"/>
  <c r="I4" i="18"/>
  <c r="I22" i="18"/>
  <c r="I25" i="18"/>
  <c r="AB13" i="6"/>
  <c r="I27" i="18"/>
  <c r="AB18" i="6"/>
  <c r="I5" i="18"/>
  <c r="I11" i="18"/>
  <c r="AB46" i="5"/>
  <c r="I305" i="18"/>
  <c r="AB45" i="5"/>
  <c r="I304" i="18"/>
  <c r="AB94" i="4"/>
  <c r="I46" i="18"/>
  <c r="AB45" i="4"/>
  <c r="I141" i="18"/>
  <c r="AB74" i="4"/>
  <c r="I161" i="18"/>
  <c r="AB113" i="4"/>
  <c r="I65" i="18"/>
  <c r="AB75" i="4"/>
  <c r="I162" i="18"/>
  <c r="AB132" i="4"/>
  <c r="I83" i="18"/>
  <c r="AB17" i="4"/>
  <c r="I119" i="18"/>
  <c r="AB116" i="4"/>
  <c r="I68" i="18"/>
  <c r="AB125" i="4"/>
  <c r="I76" i="18"/>
  <c r="AB133" i="4"/>
  <c r="I84" i="18"/>
  <c r="AB148" i="4"/>
  <c r="I98" i="18"/>
  <c r="AB157" i="4"/>
  <c r="I106" i="18"/>
  <c r="AB80" i="4"/>
  <c r="AB79" i="4" s="1"/>
  <c r="M142" i="8" s="1"/>
  <c r="D77" i="13" s="1"/>
  <c r="I165" i="18"/>
  <c r="AB108" i="4"/>
  <c r="I50" i="18"/>
  <c r="AB117" i="4"/>
  <c r="I69" i="18"/>
  <c r="AB149" i="4"/>
  <c r="I99" i="18"/>
  <c r="AB15" i="4"/>
  <c r="I117" i="18"/>
  <c r="AB7" i="4"/>
  <c r="I109" i="18"/>
  <c r="AB34" i="4"/>
  <c r="I132" i="18"/>
  <c r="AB70" i="4"/>
  <c r="I158" i="18"/>
  <c r="AB89" i="4"/>
  <c r="I172" i="18"/>
  <c r="AB118" i="4"/>
  <c r="I70" i="18"/>
  <c r="AB127" i="4"/>
  <c r="I78" i="18"/>
  <c r="AB151" i="4"/>
  <c r="I100" i="18"/>
  <c r="AB71" i="4"/>
  <c r="I159" i="18"/>
  <c r="AB111" i="4"/>
  <c r="I63" i="18"/>
  <c r="AB128" i="4"/>
  <c r="I79" i="18"/>
  <c r="AB152" i="4"/>
  <c r="I101" i="18"/>
  <c r="AB145" i="4"/>
  <c r="I95" i="18"/>
  <c r="AB154" i="4"/>
  <c r="I103" i="18"/>
  <c r="AB65" i="4"/>
  <c r="I154" i="18"/>
  <c r="AB85" i="4"/>
  <c r="I168" i="18"/>
  <c r="AB104" i="4"/>
  <c r="I61" i="18"/>
  <c r="AB114" i="4"/>
  <c r="I66" i="18"/>
  <c r="AB123" i="4"/>
  <c r="I74" i="18"/>
  <c r="AB131" i="4"/>
  <c r="I82" i="18"/>
  <c r="AB146" i="4"/>
  <c r="I96" i="18"/>
  <c r="AB66" i="4"/>
  <c r="I155" i="18"/>
  <c r="AB86" i="4"/>
  <c r="I169" i="18"/>
  <c r="AB115" i="4"/>
  <c r="I67" i="18"/>
  <c r="AB16" i="4"/>
  <c r="I118" i="18"/>
  <c r="AB25" i="4"/>
  <c r="I126" i="18"/>
  <c r="AB112" i="4"/>
  <c r="I64" i="18"/>
  <c r="AB120" i="4"/>
  <c r="I72" i="18"/>
  <c r="AB129" i="4"/>
  <c r="I80" i="18"/>
  <c r="AB153" i="4"/>
  <c r="I102" i="18"/>
  <c r="AB52" i="4"/>
  <c r="I146" i="18"/>
  <c r="AB48" i="4"/>
  <c r="I143" i="18"/>
  <c r="AB49" i="4"/>
  <c r="I144" i="18"/>
  <c r="AB47" i="4"/>
  <c r="I142" i="18"/>
  <c r="AB21" i="5"/>
  <c r="I292" i="18"/>
  <c r="AB22" i="5"/>
  <c r="I293" i="18"/>
  <c r="AB137" i="4"/>
  <c r="I89" i="18"/>
  <c r="AB56" i="4"/>
  <c r="I149" i="18"/>
  <c r="AB55" i="4"/>
  <c r="I148" i="18"/>
  <c r="I19" i="18"/>
  <c r="AB52" i="6"/>
  <c r="AB108" i="5"/>
  <c r="I349" i="18"/>
  <c r="AB107" i="5"/>
  <c r="I348" i="18"/>
  <c r="AB106" i="5"/>
  <c r="I347" i="18"/>
  <c r="AB104" i="5"/>
  <c r="I346" i="18"/>
  <c r="AB103" i="5"/>
  <c r="I345" i="18"/>
  <c r="AB102" i="5"/>
  <c r="I344" i="18"/>
  <c r="I343" i="18"/>
  <c r="AB101" i="5"/>
  <c r="AB40" i="4"/>
  <c r="I136" i="18"/>
  <c r="L5" i="6"/>
  <c r="H200" i="8" s="1"/>
  <c r="AB33" i="6"/>
  <c r="AB23" i="6"/>
  <c r="X52" i="6"/>
  <c r="X47" i="6" s="1"/>
  <c r="J26" i="5"/>
  <c r="AB31" i="4"/>
  <c r="AB110" i="4"/>
  <c r="AB6" i="4"/>
  <c r="AB59" i="4"/>
  <c r="AB51" i="4"/>
  <c r="Z50" i="4"/>
  <c r="K133" i="8" s="1"/>
  <c r="E63" i="13" s="1"/>
  <c r="X11" i="5"/>
  <c r="L40" i="5"/>
  <c r="H173" i="8" s="1"/>
  <c r="J58" i="5"/>
  <c r="E179" i="8" s="1"/>
  <c r="J74" i="5"/>
  <c r="E183" i="8" s="1"/>
  <c r="V137" i="5"/>
  <c r="X137" i="5" s="1"/>
  <c r="J46" i="4"/>
  <c r="E132" i="8" s="1"/>
  <c r="X96" i="5"/>
  <c r="V132" i="5"/>
  <c r="X132" i="5" s="1"/>
  <c r="V76" i="5"/>
  <c r="X76" i="5" s="1"/>
  <c r="X13" i="5"/>
  <c r="L105" i="5"/>
  <c r="H190" i="8" s="1"/>
  <c r="J85" i="5"/>
  <c r="E186" i="8" s="1"/>
  <c r="V26" i="6"/>
  <c r="X26" i="6" s="1"/>
  <c r="V21" i="6"/>
  <c r="X21" i="6" s="1"/>
  <c r="V34" i="6"/>
  <c r="X34" i="6" s="1"/>
  <c r="L23" i="5"/>
  <c r="H168" i="8" s="1"/>
  <c r="J49" i="5"/>
  <c r="E176" i="8" s="1"/>
  <c r="E175" i="8" s="1"/>
  <c r="J139" i="5"/>
  <c r="E197" i="8" s="1"/>
  <c r="V141" i="5"/>
  <c r="X141" i="5" s="1"/>
  <c r="V10" i="5"/>
  <c r="X10" i="5" s="1"/>
  <c r="V60" i="5"/>
  <c r="X60" i="5" s="1"/>
  <c r="J105" i="5"/>
  <c r="E190" i="8" s="1"/>
  <c r="J40" i="5"/>
  <c r="E173" i="8" s="1"/>
  <c r="V62" i="5"/>
  <c r="X62" i="5" s="1"/>
  <c r="V14" i="5"/>
  <c r="X14" i="5" s="1"/>
  <c r="V45" i="5"/>
  <c r="X45" i="5" s="1"/>
  <c r="X122" i="5"/>
  <c r="X21" i="5"/>
  <c r="J5" i="5"/>
  <c r="E163" i="8" s="1"/>
  <c r="L58" i="5"/>
  <c r="H179" i="8" s="1"/>
  <c r="X82" i="5"/>
  <c r="T18" i="4"/>
  <c r="Z18" i="4" s="1"/>
  <c r="X23" i="4"/>
  <c r="L69" i="4"/>
  <c r="H139" i="8" s="1"/>
  <c r="J136" i="4"/>
  <c r="E154" i="8" s="1"/>
  <c r="L57" i="4"/>
  <c r="H135" i="8" s="1"/>
  <c r="AB93" i="5"/>
  <c r="Z92" i="5"/>
  <c r="K187" i="8" s="1"/>
  <c r="AB24" i="5"/>
  <c r="Z23" i="5"/>
  <c r="K168" i="8" s="1"/>
  <c r="E58" i="15" s="1"/>
  <c r="AB23" i="4"/>
  <c r="J100" i="4"/>
  <c r="E149" i="8" s="1"/>
  <c r="Z121" i="4"/>
  <c r="V46" i="5"/>
  <c r="X46" i="5" s="1"/>
  <c r="T54" i="5"/>
  <c r="Z54" i="5" s="1"/>
  <c r="X83" i="5"/>
  <c r="J53" i="4"/>
  <c r="E134" i="8" s="1"/>
  <c r="L9" i="5"/>
  <c r="H164" i="8" s="1"/>
  <c r="V8" i="5"/>
  <c r="X8" i="5" s="1"/>
  <c r="J23" i="5"/>
  <c r="E168" i="8" s="1"/>
  <c r="L26" i="5"/>
  <c r="H169" i="8" s="1"/>
  <c r="Z55" i="5"/>
  <c r="K177" i="8" s="1"/>
  <c r="E70" i="15" s="1"/>
  <c r="AB56" i="5"/>
  <c r="V90" i="5"/>
  <c r="X90" i="5" s="1"/>
  <c r="X112" i="5"/>
  <c r="V29" i="6"/>
  <c r="X29" i="6" s="1"/>
  <c r="L47" i="6"/>
  <c r="H206" i="8" s="1"/>
  <c r="L91" i="4"/>
  <c r="H145" i="8" s="1"/>
  <c r="L12" i="5"/>
  <c r="H165" i="8" s="1"/>
  <c r="V128" i="4"/>
  <c r="X128" i="4" s="1"/>
  <c r="J78" i="5"/>
  <c r="E185" i="8" s="1"/>
  <c r="V95" i="5"/>
  <c r="X95" i="5" s="1"/>
  <c r="J116" i="5"/>
  <c r="E193" i="8" s="1"/>
  <c r="L110" i="5"/>
  <c r="H192" i="8" s="1"/>
  <c r="X113" i="5"/>
  <c r="J22" i="6"/>
  <c r="E202" i="8" s="1"/>
  <c r="V119" i="5"/>
  <c r="X119" i="5" s="1"/>
  <c r="L18" i="5"/>
  <c r="H167" i="8" s="1"/>
  <c r="V25" i="5"/>
  <c r="X25" i="5" s="1"/>
  <c r="X63" i="5"/>
  <c r="T80" i="5"/>
  <c r="Z80" i="5" s="1"/>
  <c r="V104" i="5"/>
  <c r="X104" i="5" s="1"/>
  <c r="L40" i="6"/>
  <c r="H205" i="8" s="1"/>
  <c r="L78" i="5"/>
  <c r="H185" i="8" s="1"/>
  <c r="I59" i="18"/>
  <c r="V34" i="5"/>
  <c r="X34" i="5" s="1"/>
  <c r="V64" i="5"/>
  <c r="X64" i="5" s="1"/>
  <c r="V124" i="5"/>
  <c r="X124" i="5" s="1"/>
  <c r="J50" i="4"/>
  <c r="E133" i="8" s="1"/>
  <c r="AB106" i="4"/>
  <c r="J9" i="5"/>
  <c r="E164" i="8" s="1"/>
  <c r="X16" i="5"/>
  <c r="J32" i="5"/>
  <c r="E171" i="8" s="1"/>
  <c r="V51" i="5"/>
  <c r="X51" i="5" s="1"/>
  <c r="V65" i="5"/>
  <c r="X65" i="5" s="1"/>
  <c r="V81" i="5"/>
  <c r="X81" i="5" s="1"/>
  <c r="J131" i="5"/>
  <c r="E195" i="8" s="1"/>
  <c r="L139" i="5"/>
  <c r="H197" i="8" s="1"/>
  <c r="V18" i="6"/>
  <c r="X18" i="6" s="1"/>
  <c r="AB99" i="4"/>
  <c r="Z98" i="4"/>
  <c r="V22" i="5"/>
  <c r="X22" i="5" s="1"/>
  <c r="L100" i="4"/>
  <c r="H149" i="8" s="1"/>
  <c r="L136" i="4"/>
  <c r="H154" i="8" s="1"/>
  <c r="L53" i="4"/>
  <c r="H134" i="8" s="1"/>
  <c r="J121" i="4"/>
  <c r="L50" i="4"/>
  <c r="H133" i="8" s="1"/>
  <c r="X48" i="4"/>
  <c r="V99" i="4"/>
  <c r="X99" i="4" s="1"/>
  <c r="X98" i="4" s="1"/>
  <c r="X49" i="4"/>
  <c r="L27" i="4"/>
  <c r="H128" i="8" s="1"/>
  <c r="X51" i="4"/>
  <c r="V117" i="4"/>
  <c r="X117" i="4" s="1"/>
  <c r="V17" i="4"/>
  <c r="X17" i="4" s="1"/>
  <c r="L79" i="4"/>
  <c r="H142" i="8" s="1"/>
  <c r="V70" i="4"/>
  <c r="X70" i="4" s="1"/>
  <c r="L121" i="4"/>
  <c r="H152" i="8" s="1"/>
  <c r="V118" i="4"/>
  <c r="X118" i="4" s="1"/>
  <c r="J69" i="4"/>
  <c r="E139" i="8" s="1"/>
  <c r="J79" i="4"/>
  <c r="E142" i="8" s="1"/>
  <c r="V119" i="4"/>
  <c r="X119" i="4" s="1"/>
  <c r="X156" i="4"/>
  <c r="J33" i="4"/>
  <c r="E129" i="8" s="1"/>
  <c r="L33" i="4"/>
  <c r="H129" i="8" s="1"/>
  <c r="J57" i="4"/>
  <c r="E135" i="8" s="1"/>
  <c r="L46" i="4"/>
  <c r="H132" i="8" s="1"/>
  <c r="L61" i="4"/>
  <c r="H137" i="8" s="1"/>
  <c r="X127" i="4"/>
  <c r="AB122" i="4"/>
  <c r="AB54" i="4"/>
  <c r="Z53" i="4"/>
  <c r="K134" i="8" s="1"/>
  <c r="E64" i="13" s="1"/>
  <c r="E148" i="8"/>
  <c r="AB62" i="4"/>
  <c r="H148" i="8"/>
  <c r="L167" i="4"/>
  <c r="AB143" i="4"/>
  <c r="V30" i="4"/>
  <c r="X30" i="4" s="1"/>
  <c r="T72" i="4"/>
  <c r="Z72" i="4" s="1"/>
  <c r="J159" i="4"/>
  <c r="E158" i="8" s="1"/>
  <c r="F158" i="8" s="1"/>
  <c r="V52" i="4"/>
  <c r="X52" i="4" s="1"/>
  <c r="X146" i="4"/>
  <c r="V54" i="4"/>
  <c r="V85" i="4"/>
  <c r="X85" i="4" s="1"/>
  <c r="V123" i="4"/>
  <c r="X123" i="4" s="1"/>
  <c r="V131" i="4"/>
  <c r="X131" i="4" s="1"/>
  <c r="X147" i="4"/>
  <c r="AB171" i="4"/>
  <c r="X145" i="4"/>
  <c r="J61" i="4"/>
  <c r="E137" i="8" s="1"/>
  <c r="V55" i="4"/>
  <c r="X55" i="4" s="1"/>
  <c r="V124" i="4"/>
  <c r="X124" i="4" s="1"/>
  <c r="X132" i="4"/>
  <c r="L144" i="4"/>
  <c r="H156" i="8" s="1"/>
  <c r="T138" i="4"/>
  <c r="Z138" i="4" s="1"/>
  <c r="I90" i="18" s="1"/>
  <c r="V113" i="4"/>
  <c r="X113" i="4" s="1"/>
  <c r="V137" i="4"/>
  <c r="Z46" i="4"/>
  <c r="K132" i="8" s="1"/>
  <c r="E62" i="13" s="1"/>
  <c r="J22" i="4"/>
  <c r="E126" i="8" s="1"/>
  <c r="AB32" i="4"/>
  <c r="V31" i="4"/>
  <c r="X31" i="4" s="1"/>
  <c r="V62" i="4"/>
  <c r="J91" i="4"/>
  <c r="E145" i="8" s="1"/>
  <c r="V129" i="4"/>
  <c r="X129" i="4" s="1"/>
  <c r="L159" i="4"/>
  <c r="H158" i="8" s="1"/>
  <c r="V63" i="4"/>
  <c r="X63" i="4" s="1"/>
  <c r="X43" i="4"/>
  <c r="X56" i="4"/>
  <c r="X34" i="4"/>
  <c r="V47" i="4"/>
  <c r="X115" i="4"/>
  <c r="X134" i="4"/>
  <c r="T141" i="4"/>
  <c r="X141" i="4"/>
  <c r="X140" i="4" s="1"/>
  <c r="V152" i="4"/>
  <c r="X152" i="4" s="1"/>
  <c r="J40" i="6"/>
  <c r="E205" i="8" s="1"/>
  <c r="V17" i="6"/>
  <c r="Z95" i="4"/>
  <c r="K146" i="8" s="1"/>
  <c r="E86" i="13" s="1"/>
  <c r="AB96" i="4"/>
  <c r="AB95" i="4" s="1"/>
  <c r="Z32" i="5"/>
  <c r="K171" i="8" s="1"/>
  <c r="E61" i="15" s="1"/>
  <c r="AB33" i="5"/>
  <c r="V33" i="5"/>
  <c r="X33" i="5" s="1"/>
  <c r="V35" i="5"/>
  <c r="X35" i="5" s="1"/>
  <c r="L32" i="5"/>
  <c r="J12" i="5"/>
  <c r="E165" i="8" s="1"/>
  <c r="T6" i="5"/>
  <c r="Z6" i="5" s="1"/>
  <c r="L5" i="5"/>
  <c r="H163" i="8" s="1"/>
  <c r="X6" i="5"/>
  <c r="AB31" i="5"/>
  <c r="AB30" i="5" s="1"/>
  <c r="Z30" i="5"/>
  <c r="K170" i="8" s="1"/>
  <c r="E60" i="15" s="1"/>
  <c r="V38" i="5"/>
  <c r="X38" i="5" s="1"/>
  <c r="V39" i="5"/>
  <c r="X39" i="5" s="1"/>
  <c r="L36" i="5"/>
  <c r="H172" i="8" s="1"/>
  <c r="J36" i="5"/>
  <c r="E172" i="8" s="1"/>
  <c r="J18" i="5"/>
  <c r="Z9" i="5"/>
  <c r="K164" i="8" s="1"/>
  <c r="E47" i="15" s="1"/>
  <c r="AB10" i="5"/>
  <c r="X27" i="5"/>
  <c r="AB28" i="5"/>
  <c r="X28" i="5"/>
  <c r="L74" i="5"/>
  <c r="H183" i="8" s="1"/>
  <c r="AB75" i="5"/>
  <c r="Z74" i="5"/>
  <c r="K183" i="8" s="1"/>
  <c r="E79" i="15" s="1"/>
  <c r="V75" i="5"/>
  <c r="X75" i="5" s="1"/>
  <c r="V72" i="5"/>
  <c r="X72" i="5" s="1"/>
  <c r="L68" i="5"/>
  <c r="H182" i="8" s="1"/>
  <c r="V71" i="5"/>
  <c r="X71" i="5" s="1"/>
  <c r="V73" i="5"/>
  <c r="X73" i="5" s="1"/>
  <c r="J68" i="5"/>
  <c r="E182" i="8" s="1"/>
  <c r="AB69" i="5"/>
  <c r="V69" i="5"/>
  <c r="Z66" i="5"/>
  <c r="K181" i="8" s="1"/>
  <c r="E77" i="15" s="1"/>
  <c r="V67" i="5"/>
  <c r="L61" i="5"/>
  <c r="H180" i="8" s="1"/>
  <c r="J61" i="5"/>
  <c r="E180" i="8" s="1"/>
  <c r="Z61" i="5"/>
  <c r="K180" i="8" s="1"/>
  <c r="E76" i="15" s="1"/>
  <c r="X59" i="5"/>
  <c r="J140" i="4"/>
  <c r="E155" i="8" s="1"/>
  <c r="L140" i="4"/>
  <c r="H155" i="8" s="1"/>
  <c r="X103" i="4"/>
  <c r="X104" i="4"/>
  <c r="X102" i="4"/>
  <c r="AB101" i="4"/>
  <c r="H150" i="8"/>
  <c r="AB95" i="5"/>
  <c r="X98" i="5"/>
  <c r="V97" i="5"/>
  <c r="X97" i="5" s="1"/>
  <c r="J94" i="5"/>
  <c r="E188" i="8" s="1"/>
  <c r="L94" i="5"/>
  <c r="H188" i="8" s="1"/>
  <c r="T79" i="5"/>
  <c r="Z79" i="5" s="1"/>
  <c r="I326" i="18" s="1"/>
  <c r="X93" i="5"/>
  <c r="X92" i="5" s="1"/>
  <c r="AB86" i="5"/>
  <c r="V86" i="5"/>
  <c r="X86" i="5" s="1"/>
  <c r="V87" i="5"/>
  <c r="X87" i="5" s="1"/>
  <c r="V88" i="5"/>
  <c r="X88" i="5" s="1"/>
  <c r="L85" i="5"/>
  <c r="H186" i="8" s="1"/>
  <c r="J47" i="6"/>
  <c r="E206" i="8" s="1"/>
  <c r="J167" i="4"/>
  <c r="T45" i="6"/>
  <c r="V25" i="6"/>
  <c r="X25" i="6" s="1"/>
  <c r="T48" i="6"/>
  <c r="Z48" i="6" s="1"/>
  <c r="X108" i="5"/>
  <c r="Z105" i="5"/>
  <c r="K190" i="8" s="1"/>
  <c r="E91" i="15" s="1"/>
  <c r="V106" i="5"/>
  <c r="V100" i="5"/>
  <c r="X102" i="5"/>
  <c r="J99" i="5"/>
  <c r="E189" i="8" s="1"/>
  <c r="V101" i="5"/>
  <c r="X101" i="5" s="1"/>
  <c r="V103" i="5"/>
  <c r="X103" i="5" s="1"/>
  <c r="L99" i="5"/>
  <c r="H189" i="8" s="1"/>
  <c r="V41" i="4"/>
  <c r="X41" i="4" s="1"/>
  <c r="V40" i="4"/>
  <c r="X40" i="4" s="1"/>
  <c r="V39" i="4"/>
  <c r="V39" i="6"/>
  <c r="X39" i="6" s="1"/>
  <c r="J31" i="6"/>
  <c r="E204" i="8" s="1"/>
  <c r="L31" i="6"/>
  <c r="H204" i="8" s="1"/>
  <c r="V35" i="6"/>
  <c r="X35" i="6" s="1"/>
  <c r="V33" i="6"/>
  <c r="X33" i="6" s="1"/>
  <c r="V13" i="6"/>
  <c r="X13" i="6" s="1"/>
  <c r="V8" i="6"/>
  <c r="X8" i="6" s="1"/>
  <c r="X7" i="6"/>
  <c r="X6" i="6"/>
  <c r="J5" i="6"/>
  <c r="E200" i="8" s="1"/>
  <c r="L14" i="6"/>
  <c r="H201" i="8" s="1"/>
  <c r="J14" i="6"/>
  <c r="E201" i="8" s="1"/>
  <c r="X76" i="4"/>
  <c r="V75" i="4"/>
  <c r="X75" i="4" s="1"/>
  <c r="X74" i="4"/>
  <c r="X71" i="4"/>
  <c r="Z68" i="4"/>
  <c r="T67" i="4"/>
  <c r="Z67" i="4" s="1"/>
  <c r="V66" i="4"/>
  <c r="X66" i="4" s="1"/>
  <c r="J64" i="4"/>
  <c r="E138" i="8" s="1"/>
  <c r="X65" i="4"/>
  <c r="L64" i="4"/>
  <c r="H138" i="8" s="1"/>
  <c r="L22" i="6"/>
  <c r="H202" i="8" s="1"/>
  <c r="V23" i="6"/>
  <c r="X23" i="6" s="1"/>
  <c r="V138" i="5"/>
  <c r="J134" i="5"/>
  <c r="E196" i="8" s="1"/>
  <c r="L134" i="5"/>
  <c r="H196" i="8" s="1"/>
  <c r="X133" i="5"/>
  <c r="Z131" i="5"/>
  <c r="K195" i="8" s="1"/>
  <c r="E99" i="15" s="1"/>
  <c r="L131" i="5"/>
  <c r="H195" i="8" s="1"/>
  <c r="X126" i="5"/>
  <c r="T127" i="5"/>
  <c r="Z127" i="5" s="1"/>
  <c r="I364" i="18" s="1"/>
  <c r="X128" i="5"/>
  <c r="X129" i="5"/>
  <c r="V130" i="5"/>
  <c r="X130" i="5" s="1"/>
  <c r="Z116" i="5"/>
  <c r="K193" i="8" s="1"/>
  <c r="E97" i="15" s="1"/>
  <c r="X120" i="5"/>
  <c r="X121" i="5"/>
  <c r="X117" i="5"/>
  <c r="X118" i="5"/>
  <c r="L116" i="5"/>
  <c r="H193" i="8" s="1"/>
  <c r="T115" i="5"/>
  <c r="Z115" i="5" s="1"/>
  <c r="I354" i="18" s="1"/>
  <c r="X114" i="5"/>
  <c r="J110" i="5"/>
  <c r="E192" i="8" s="1"/>
  <c r="X159" i="4"/>
  <c r="L150" i="4"/>
  <c r="H157" i="8" s="1"/>
  <c r="J150" i="4"/>
  <c r="E157" i="8" s="1"/>
  <c r="V154" i="4"/>
  <c r="X154" i="4" s="1"/>
  <c r="V148" i="4"/>
  <c r="X148" i="4" s="1"/>
  <c r="Z144" i="4"/>
  <c r="K156" i="8" s="1"/>
  <c r="E107" i="13" s="1"/>
  <c r="J144" i="4"/>
  <c r="E156" i="8" s="1"/>
  <c r="T36" i="4"/>
  <c r="V29" i="4"/>
  <c r="X29" i="4" s="1"/>
  <c r="V28" i="4"/>
  <c r="J27" i="4"/>
  <c r="E128" i="8" s="1"/>
  <c r="X15" i="4"/>
  <c r="T14" i="4"/>
  <c r="Z14" i="4" s="1"/>
  <c r="T13" i="4"/>
  <c r="Z13" i="4" s="1"/>
  <c r="V7" i="4"/>
  <c r="X7" i="4" s="1"/>
  <c r="V6" i="4"/>
  <c r="L5" i="4"/>
  <c r="H125" i="8" s="1"/>
  <c r="J5" i="4"/>
  <c r="E125" i="8" s="1"/>
  <c r="L43" i="5"/>
  <c r="H174" i="8" s="1"/>
  <c r="J43" i="5"/>
  <c r="E174" i="8" s="1"/>
  <c r="V44" i="5"/>
  <c r="X116" i="4"/>
  <c r="V120" i="4"/>
  <c r="X120" i="4" s="1"/>
  <c r="X114" i="4"/>
  <c r="V111" i="4"/>
  <c r="X111" i="4" s="1"/>
  <c r="V110" i="4"/>
  <c r="V56" i="5"/>
  <c r="V55" i="5" s="1"/>
  <c r="I177" i="8" s="1"/>
  <c r="L49" i="5"/>
  <c r="H176" i="8" s="1"/>
  <c r="H175" i="8" s="1"/>
  <c r="X52" i="5"/>
  <c r="V53" i="5"/>
  <c r="X53" i="5" s="1"/>
  <c r="L109" i="4"/>
  <c r="H151" i="8" s="1"/>
  <c r="J109" i="4"/>
  <c r="V112" i="4"/>
  <c r="X112" i="4" s="1"/>
  <c r="V94" i="4"/>
  <c r="X94" i="4" s="1"/>
  <c r="J83" i="4"/>
  <c r="L83" i="4"/>
  <c r="H144" i="8" s="1"/>
  <c r="V89" i="4"/>
  <c r="X89" i="4" s="1"/>
  <c r="X86" i="4"/>
  <c r="Z79" i="4"/>
  <c r="K142" i="8" s="1"/>
  <c r="E77" i="13" s="1"/>
  <c r="X81" i="4"/>
  <c r="X59" i="4"/>
  <c r="X25" i="4"/>
  <c r="X24" i="4"/>
  <c r="L22" i="4"/>
  <c r="H126" i="8" s="1"/>
  <c r="T50" i="6"/>
  <c r="Z50" i="6" s="1"/>
  <c r="T51" i="6"/>
  <c r="Z51" i="6" s="1"/>
  <c r="T49" i="6"/>
  <c r="Z49" i="6" s="1"/>
  <c r="T44" i="6"/>
  <c r="Z44" i="6" s="1"/>
  <c r="I12" i="18" s="1"/>
  <c r="X46" i="6"/>
  <c r="T32" i="6"/>
  <c r="V36" i="6"/>
  <c r="X36" i="6" s="1"/>
  <c r="T37" i="6"/>
  <c r="Z37" i="6" s="1"/>
  <c r="AB37" i="6" s="1"/>
  <c r="Z12" i="5"/>
  <c r="K165" i="8" s="1"/>
  <c r="E49" i="15" s="1"/>
  <c r="V15" i="5"/>
  <c r="X15" i="5" s="1"/>
  <c r="V96" i="4"/>
  <c r="X92" i="4"/>
  <c r="T92" i="4"/>
  <c r="Z92" i="4" s="1"/>
  <c r="Z91" i="4" s="1"/>
  <c r="X84" i="4"/>
  <c r="T84" i="4"/>
  <c r="Z84" i="4" s="1"/>
  <c r="T87" i="4"/>
  <c r="Z87" i="4" s="1"/>
  <c r="Y6" i="4"/>
  <c r="Y7" i="4"/>
  <c r="AA7" i="4" s="1"/>
  <c r="Y13" i="4"/>
  <c r="AA13" i="4" s="1"/>
  <c r="Y14" i="4"/>
  <c r="AA14" i="4" s="1"/>
  <c r="Y15" i="4"/>
  <c r="AA15" i="4" s="1"/>
  <c r="Y16" i="4"/>
  <c r="AA16" i="4" s="1"/>
  <c r="Y17" i="4"/>
  <c r="AA17" i="4" s="1"/>
  <c r="Y18" i="4"/>
  <c r="AA18" i="4" s="1"/>
  <c r="W23" i="4"/>
  <c r="Y23" i="4"/>
  <c r="AA23" i="4" s="1"/>
  <c r="W25" i="4"/>
  <c r="Y25" i="4"/>
  <c r="AA25" i="4" s="1"/>
  <c r="W31" i="4"/>
  <c r="W27" i="4" s="1"/>
  <c r="Y31" i="4"/>
  <c r="AA31" i="4" s="1"/>
  <c r="AA27" i="4" s="1"/>
  <c r="W34" i="4"/>
  <c r="Y34" i="4"/>
  <c r="AA34" i="4" s="1"/>
  <c r="W36" i="4"/>
  <c r="Y36" i="4"/>
  <c r="AA36" i="4" s="1"/>
  <c r="Y40" i="4"/>
  <c r="AA40" i="4" s="1"/>
  <c r="Y45" i="4"/>
  <c r="AA45" i="4" s="1"/>
  <c r="Y47" i="4"/>
  <c r="Y48" i="4"/>
  <c r="AA48" i="4" s="1"/>
  <c r="Y49" i="4"/>
  <c r="AA49" i="4" s="1"/>
  <c r="Y52" i="4"/>
  <c r="Y50" i="4" s="1"/>
  <c r="Y54" i="4"/>
  <c r="AA54" i="4" s="1"/>
  <c r="W55" i="4"/>
  <c r="Y55" i="4"/>
  <c r="AA55" i="4" s="1"/>
  <c r="Y56" i="4"/>
  <c r="AA56" i="4" s="1"/>
  <c r="Y59" i="4"/>
  <c r="AA59" i="4" s="1"/>
  <c r="AA57" i="4" s="1"/>
  <c r="Y62" i="4"/>
  <c r="AA62" i="4" s="1"/>
  <c r="AA61" i="4" s="1"/>
  <c r="W65" i="4"/>
  <c r="Y65" i="4"/>
  <c r="AA65" i="4" s="1"/>
  <c r="Y66" i="4"/>
  <c r="AA66" i="4" s="1"/>
  <c r="Y67" i="4"/>
  <c r="AA67" i="4" s="1"/>
  <c r="W68" i="4"/>
  <c r="Y68" i="4"/>
  <c r="AA68" i="4" s="1"/>
  <c r="W70" i="4"/>
  <c r="Y70" i="4"/>
  <c r="W71" i="4"/>
  <c r="Y71" i="4"/>
  <c r="AA71" i="4" s="1"/>
  <c r="Y72" i="4"/>
  <c r="AA72" i="4" s="1"/>
  <c r="W74" i="4"/>
  <c r="Y74" i="4"/>
  <c r="Y75" i="4"/>
  <c r="AA75" i="4" s="1"/>
  <c r="Y78" i="4"/>
  <c r="Y77" i="4" s="1"/>
  <c r="Y80" i="4"/>
  <c r="W81" i="4"/>
  <c r="Y81" i="4"/>
  <c r="AA81" i="4" s="1"/>
  <c r="Y85" i="4"/>
  <c r="AA85" i="4" s="1"/>
  <c r="Y86" i="4"/>
  <c r="AA86" i="4" s="1"/>
  <c r="Y90" i="4"/>
  <c r="Y92" i="4"/>
  <c r="Y94" i="4"/>
  <c r="AA94" i="4" s="1"/>
  <c r="W96" i="4"/>
  <c r="W95" i="4" s="1"/>
  <c r="Y96" i="4"/>
  <c r="Y95" i="4" s="1"/>
  <c r="W101" i="4"/>
  <c r="Y101" i="4"/>
  <c r="W102" i="4"/>
  <c r="Y102" i="4"/>
  <c r="AA102" i="4" s="1"/>
  <c r="W104" i="4"/>
  <c r="Y104" i="4"/>
  <c r="Y106" i="4"/>
  <c r="AA106" i="4" s="1"/>
  <c r="Y107" i="4"/>
  <c r="AA107" i="4" s="1"/>
  <c r="Y108" i="4"/>
  <c r="AA108" i="4" s="1"/>
  <c r="W110" i="4"/>
  <c r="Y110" i="4"/>
  <c r="Y111" i="4"/>
  <c r="AA111" i="4" s="1"/>
  <c r="Y113" i="4"/>
  <c r="AA113" i="4" s="1"/>
  <c r="Y114" i="4"/>
  <c r="AA114" i="4" s="1"/>
  <c r="W115" i="4"/>
  <c r="Y115" i="4"/>
  <c r="AA115" i="4" s="1"/>
  <c r="Y116" i="4"/>
  <c r="AA116" i="4" s="1"/>
  <c r="Y118" i="4"/>
  <c r="AA118" i="4" s="1"/>
  <c r="AA119" i="4"/>
  <c r="Y120" i="4"/>
  <c r="AA120" i="4" s="1"/>
  <c r="Y122" i="4"/>
  <c r="Y125" i="4"/>
  <c r="AA125" i="4" s="1"/>
  <c r="W127" i="4"/>
  <c r="Y127" i="4"/>
  <c r="AA127" i="4" s="1"/>
  <c r="W128" i="4"/>
  <c r="Y128" i="4"/>
  <c r="AA128" i="4" s="1"/>
  <c r="Y131" i="4"/>
  <c r="AA131" i="4" s="1"/>
  <c r="Y133" i="4"/>
  <c r="AA133" i="4" s="1"/>
  <c r="Y134" i="4"/>
  <c r="AA134" i="4" s="1"/>
  <c r="W137" i="4"/>
  <c r="W136" i="4" s="1"/>
  <c r="Y136" i="4"/>
  <c r="Z136" i="4" s="1"/>
  <c r="Y141" i="4"/>
  <c r="AA141" i="4" s="1"/>
  <c r="W142" i="4"/>
  <c r="Y142" i="4"/>
  <c r="AA142" i="4" s="1"/>
  <c r="Y143" i="4"/>
  <c r="AA143" i="4" s="1"/>
  <c r="Y146" i="4"/>
  <c r="AA146" i="4" s="1"/>
  <c r="Y147" i="4"/>
  <c r="AA147" i="4" s="1"/>
  <c r="Y148" i="4"/>
  <c r="AA148" i="4" s="1"/>
  <c r="Y151" i="4"/>
  <c r="AA151" i="4" s="1"/>
  <c r="Y152" i="4"/>
  <c r="AA152" i="4" s="1"/>
  <c r="Y153" i="4"/>
  <c r="Y154" i="4"/>
  <c r="AA154" i="4" s="1"/>
  <c r="Y156" i="4"/>
  <c r="AA156" i="4" s="1"/>
  <c r="Y157" i="4"/>
  <c r="AA157" i="4" s="1"/>
  <c r="T132" i="3"/>
  <c r="Z132" i="3" s="1"/>
  <c r="I273" i="18" s="1"/>
  <c r="T131" i="3"/>
  <c r="Z131" i="3" s="1"/>
  <c r="T130" i="3"/>
  <c r="T126" i="3"/>
  <c r="L132" i="3"/>
  <c r="L129" i="3" s="1"/>
  <c r="H122" i="8" s="1"/>
  <c r="L128" i="3"/>
  <c r="L127" i="3"/>
  <c r="L126" i="3"/>
  <c r="J132" i="3"/>
  <c r="J129" i="3" s="1"/>
  <c r="E122" i="8" s="1"/>
  <c r="J128" i="3"/>
  <c r="J127" i="3"/>
  <c r="J126" i="3"/>
  <c r="T123" i="3"/>
  <c r="Z123" i="3" s="1"/>
  <c r="T122" i="3"/>
  <c r="Z122" i="3" s="1"/>
  <c r="T121" i="3"/>
  <c r="Z121" i="3" s="1"/>
  <c r="T120" i="3"/>
  <c r="T119" i="3"/>
  <c r="Z119" i="3" s="1"/>
  <c r="I263" i="18" s="1"/>
  <c r="T118" i="3"/>
  <c r="Z118" i="3" s="1"/>
  <c r="T116" i="3"/>
  <c r="AB116" i="3" s="1"/>
  <c r="T115" i="3"/>
  <c r="AB115" i="3" s="1"/>
  <c r="T114" i="3"/>
  <c r="Z114" i="3" s="1"/>
  <c r="T113" i="3"/>
  <c r="T112" i="3"/>
  <c r="Z112" i="3" s="1"/>
  <c r="T111" i="3"/>
  <c r="Z111" i="3" s="1"/>
  <c r="T109" i="3"/>
  <c r="Z109" i="3" s="1"/>
  <c r="T108" i="3"/>
  <c r="T106" i="3"/>
  <c r="Z106" i="3" s="1"/>
  <c r="T105" i="3"/>
  <c r="Z105" i="3" s="1"/>
  <c r="T104" i="3"/>
  <c r="Z104" i="3" s="1"/>
  <c r="T103" i="3"/>
  <c r="Z103" i="3" s="1"/>
  <c r="T102" i="3"/>
  <c r="Z102" i="3" s="1"/>
  <c r="L119" i="3"/>
  <c r="L123" i="3"/>
  <c r="L122" i="3"/>
  <c r="L121" i="3"/>
  <c r="L118" i="3"/>
  <c r="L116" i="3"/>
  <c r="L115" i="3"/>
  <c r="L114" i="3"/>
  <c r="L112" i="3"/>
  <c r="L111" i="3"/>
  <c r="L109" i="3"/>
  <c r="L108" i="3"/>
  <c r="L106" i="3"/>
  <c r="L105" i="3"/>
  <c r="L104" i="3"/>
  <c r="L103" i="3"/>
  <c r="L102" i="3"/>
  <c r="J123" i="3"/>
  <c r="J122" i="3"/>
  <c r="J121" i="3"/>
  <c r="J119" i="3"/>
  <c r="J118" i="3"/>
  <c r="J116" i="3"/>
  <c r="J115" i="3"/>
  <c r="J114" i="3"/>
  <c r="J112" i="3"/>
  <c r="J111" i="3"/>
  <c r="J109" i="3"/>
  <c r="J108" i="3"/>
  <c r="J106" i="3"/>
  <c r="J105" i="3"/>
  <c r="J104" i="3"/>
  <c r="J103" i="3"/>
  <c r="J102" i="3"/>
  <c r="W56" i="3"/>
  <c r="W54" i="3" s="1"/>
  <c r="T99" i="3"/>
  <c r="T98" i="3"/>
  <c r="Z98" i="3" s="1"/>
  <c r="T97" i="3"/>
  <c r="I245" i="18" s="1"/>
  <c r="T95" i="3"/>
  <c r="Z95" i="3" s="1"/>
  <c r="T94" i="3"/>
  <c r="Z94" i="3" s="1"/>
  <c r="T93" i="3"/>
  <c r="Z93" i="3" s="1"/>
  <c r="T92" i="3"/>
  <c r="Z92" i="3" s="1"/>
  <c r="T90" i="3"/>
  <c r="Z90" i="3" s="1"/>
  <c r="T89" i="3"/>
  <c r="Z89" i="3" s="1"/>
  <c r="T88" i="3"/>
  <c r="Z88" i="3" s="1"/>
  <c r="T87" i="3"/>
  <c r="Z87" i="3" s="1"/>
  <c r="I241" i="18" s="1"/>
  <c r="T85" i="3"/>
  <c r="Z85" i="3" s="1"/>
  <c r="T84" i="3"/>
  <c r="Z84" i="3" s="1"/>
  <c r="V83" i="3"/>
  <c r="X83" i="3" s="1"/>
  <c r="T82" i="3"/>
  <c r="Z82" i="3" s="1"/>
  <c r="T81" i="3"/>
  <c r="Z81" i="3" s="1"/>
  <c r="T80" i="3"/>
  <c r="Z80" i="3" s="1"/>
  <c r="T79" i="3"/>
  <c r="Z79" i="3" s="1"/>
  <c r="T78" i="3"/>
  <c r="Z78" i="3" s="1"/>
  <c r="T77" i="3"/>
  <c r="Z77" i="3" s="1"/>
  <c r="T76" i="3"/>
  <c r="Z76" i="3" s="1"/>
  <c r="T75" i="3"/>
  <c r="Z75" i="3" s="1"/>
  <c r="T74" i="3"/>
  <c r="Z74" i="3" s="1"/>
  <c r="T72" i="3"/>
  <c r="Z72" i="3" s="1"/>
  <c r="V71" i="3"/>
  <c r="X71" i="3" s="1"/>
  <c r="T70" i="3"/>
  <c r="Z70" i="3" s="1"/>
  <c r="T69" i="3"/>
  <c r="Z69" i="3" s="1"/>
  <c r="L98" i="3"/>
  <c r="L99" i="3"/>
  <c r="L97" i="3"/>
  <c r="L96" i="3" s="1"/>
  <c r="J99" i="3"/>
  <c r="J98" i="3"/>
  <c r="J97" i="3"/>
  <c r="L93" i="3"/>
  <c r="L95" i="3"/>
  <c r="L94" i="3"/>
  <c r="L92" i="3"/>
  <c r="J95" i="3"/>
  <c r="J94" i="3"/>
  <c r="J93" i="3"/>
  <c r="J92" i="3"/>
  <c r="L89" i="3"/>
  <c r="L90" i="3"/>
  <c r="L88" i="3"/>
  <c r="L87" i="3"/>
  <c r="L76" i="3"/>
  <c r="L85" i="3"/>
  <c r="L84" i="3"/>
  <c r="L83" i="3"/>
  <c r="L82" i="3"/>
  <c r="L81" i="3"/>
  <c r="L80" i="3"/>
  <c r="L79" i="3"/>
  <c r="L78" i="3"/>
  <c r="L77" i="3"/>
  <c r="L75" i="3"/>
  <c r="L74" i="3"/>
  <c r="J90" i="3"/>
  <c r="J89" i="3"/>
  <c r="J88" i="3"/>
  <c r="J87" i="3"/>
  <c r="J85" i="3"/>
  <c r="J84" i="3"/>
  <c r="J83" i="3"/>
  <c r="J82" i="3"/>
  <c r="J81" i="3"/>
  <c r="J80" i="3"/>
  <c r="J79" i="3"/>
  <c r="J78" i="3"/>
  <c r="J77" i="3"/>
  <c r="J76" i="3"/>
  <c r="J75" i="3"/>
  <c r="J74" i="3"/>
  <c r="L71" i="3"/>
  <c r="L70" i="3"/>
  <c r="L72" i="3"/>
  <c r="L69" i="3"/>
  <c r="J72" i="3"/>
  <c r="J71" i="3"/>
  <c r="J70" i="3"/>
  <c r="J69" i="3"/>
  <c r="T66" i="3"/>
  <c r="T65" i="3"/>
  <c r="Z65" i="3" s="1"/>
  <c r="T63" i="3"/>
  <c r="Z63" i="3" s="1"/>
  <c r="T62" i="3"/>
  <c r="Z62" i="3" s="1"/>
  <c r="T61" i="3"/>
  <c r="Z61" i="3" s="1"/>
  <c r="T60" i="3"/>
  <c r="Z60" i="3" s="1"/>
  <c r="T58" i="3"/>
  <c r="Z58" i="3" s="1"/>
  <c r="T57" i="3"/>
  <c r="Z57" i="3" s="1"/>
  <c r="T56" i="3"/>
  <c r="T55" i="3"/>
  <c r="Z55" i="3" s="1"/>
  <c r="T53" i="3"/>
  <c r="T52" i="3"/>
  <c r="Z52" i="3" s="1"/>
  <c r="T51" i="3"/>
  <c r="Z51" i="3" s="1"/>
  <c r="T49" i="3"/>
  <c r="Z49" i="3" s="1"/>
  <c r="T48" i="3"/>
  <c r="Z48" i="3" s="1"/>
  <c r="L66" i="3"/>
  <c r="L65" i="3"/>
  <c r="J66" i="3"/>
  <c r="J65" i="3"/>
  <c r="L63" i="3"/>
  <c r="L62" i="3"/>
  <c r="L61" i="3"/>
  <c r="L60" i="3"/>
  <c r="L58" i="3"/>
  <c r="L57" i="3"/>
  <c r="L56" i="3"/>
  <c r="L55" i="3"/>
  <c r="L52" i="3"/>
  <c r="L51" i="3"/>
  <c r="L50" i="3"/>
  <c r="L49" i="3"/>
  <c r="L48" i="3"/>
  <c r="L47" i="3"/>
  <c r="J63" i="3"/>
  <c r="J62" i="3"/>
  <c r="J61" i="3"/>
  <c r="J60" i="3"/>
  <c r="J58" i="3"/>
  <c r="J57" i="3"/>
  <c r="J56" i="3"/>
  <c r="J55" i="3"/>
  <c r="J52" i="3"/>
  <c r="J51" i="3"/>
  <c r="J50" i="3"/>
  <c r="J49" i="3"/>
  <c r="J48" i="3"/>
  <c r="J47" i="3"/>
  <c r="Z44" i="3"/>
  <c r="I225" i="18" s="1"/>
  <c r="T42" i="3"/>
  <c r="Z42" i="3" s="1"/>
  <c r="T41" i="3"/>
  <c r="Z41" i="3" s="1"/>
  <c r="I223" i="18" s="1"/>
  <c r="T39" i="3"/>
  <c r="Z39" i="3" s="1"/>
  <c r="T38" i="3"/>
  <c r="Z38" i="3" s="1"/>
  <c r="T37" i="3"/>
  <c r="Z37" i="3" s="1"/>
  <c r="T36" i="3"/>
  <c r="T35" i="3"/>
  <c r="L44" i="3"/>
  <c r="L43" i="3" s="1"/>
  <c r="H104" i="8" s="1"/>
  <c r="L42" i="3"/>
  <c r="L41" i="3"/>
  <c r="L39" i="3"/>
  <c r="L38" i="3"/>
  <c r="L37" i="3"/>
  <c r="L36" i="3"/>
  <c r="L35" i="3"/>
  <c r="J43" i="3"/>
  <c r="E104" i="8" s="1"/>
  <c r="J42" i="3"/>
  <c r="J41" i="3"/>
  <c r="J39" i="3"/>
  <c r="J38" i="3"/>
  <c r="J37" i="3"/>
  <c r="J36" i="3"/>
  <c r="J35" i="3"/>
  <c r="U21" i="3"/>
  <c r="L32" i="3"/>
  <c r="L31" i="3"/>
  <c r="L30" i="3"/>
  <c r="L27" i="3"/>
  <c r="L26" i="3"/>
  <c r="L25" i="3"/>
  <c r="L23" i="3"/>
  <c r="L22" i="3"/>
  <c r="L20" i="3"/>
  <c r="L19" i="3"/>
  <c r="L18" i="3"/>
  <c r="L17" i="3"/>
  <c r="J32" i="3"/>
  <c r="J31" i="3"/>
  <c r="J27" i="3"/>
  <c r="J26" i="3"/>
  <c r="J25" i="3"/>
  <c r="J23" i="3"/>
  <c r="J22" i="3"/>
  <c r="J20" i="3"/>
  <c r="J19" i="3"/>
  <c r="J18" i="3"/>
  <c r="J17" i="3"/>
  <c r="T32" i="3"/>
  <c r="X27" i="3"/>
  <c r="T26" i="3"/>
  <c r="Z26" i="3" s="1"/>
  <c r="I212" i="18" s="1"/>
  <c r="T25" i="3"/>
  <c r="V23" i="3"/>
  <c r="X23" i="3" s="1"/>
  <c r="T22" i="3"/>
  <c r="Z22" i="3" s="1"/>
  <c r="I209" i="18" s="1"/>
  <c r="T20" i="3"/>
  <c r="AB20" i="3" s="1"/>
  <c r="T19" i="3"/>
  <c r="T18" i="3"/>
  <c r="Z18" i="3" s="1"/>
  <c r="T17" i="3"/>
  <c r="Z17" i="3" s="1"/>
  <c r="L14" i="3"/>
  <c r="L13" i="3"/>
  <c r="L12" i="3"/>
  <c r="J14" i="3"/>
  <c r="J13" i="3"/>
  <c r="J12" i="3"/>
  <c r="L8" i="2"/>
  <c r="L8" i="3"/>
  <c r="L7" i="3"/>
  <c r="L9" i="3"/>
  <c r="L10" i="3"/>
  <c r="J7" i="3"/>
  <c r="J8" i="3"/>
  <c r="J9" i="3"/>
  <c r="J10" i="3"/>
  <c r="J6" i="3"/>
  <c r="V14" i="3"/>
  <c r="X14" i="3" s="1"/>
  <c r="T13" i="3"/>
  <c r="Z13" i="3" s="1"/>
  <c r="T12" i="3"/>
  <c r="Z12" i="3" s="1"/>
  <c r="V6" i="2"/>
  <c r="X6" i="2" s="1"/>
  <c r="T7" i="3"/>
  <c r="Z7" i="3" s="1"/>
  <c r="V8" i="3"/>
  <c r="X8" i="3" s="1"/>
  <c r="X9" i="3"/>
  <c r="V10" i="3"/>
  <c r="X10" i="3" s="1"/>
  <c r="X204" i="2"/>
  <c r="V201" i="2"/>
  <c r="X201" i="2" s="1"/>
  <c r="V200" i="2"/>
  <c r="T199" i="2"/>
  <c r="Z199" i="2" s="1"/>
  <c r="T197" i="2"/>
  <c r="Z197" i="2" s="1"/>
  <c r="T196" i="2"/>
  <c r="Z196" i="2" s="1"/>
  <c r="T195" i="2"/>
  <c r="Z195" i="2" s="1"/>
  <c r="L205" i="2"/>
  <c r="L204" i="2"/>
  <c r="L201" i="2"/>
  <c r="L199" i="2"/>
  <c r="L196" i="2"/>
  <c r="L195" i="2"/>
  <c r="L194" i="2"/>
  <c r="J205" i="2"/>
  <c r="J204" i="2"/>
  <c r="J201" i="2"/>
  <c r="J199" i="2"/>
  <c r="J196" i="2"/>
  <c r="J195" i="2"/>
  <c r="J194" i="2"/>
  <c r="U187" i="2"/>
  <c r="T190" i="2"/>
  <c r="Z190" i="2" s="1"/>
  <c r="T189" i="2"/>
  <c r="T188" i="2"/>
  <c r="Z188" i="2" s="1"/>
  <c r="I686" i="18" s="1"/>
  <c r="T186" i="2"/>
  <c r="Z186" i="2" s="1"/>
  <c r="T185" i="2"/>
  <c r="Z185" i="2" s="1"/>
  <c r="I684" i="18" s="1"/>
  <c r="T183" i="2"/>
  <c r="Z183" i="2" s="1"/>
  <c r="T181" i="2"/>
  <c r="T180" i="2"/>
  <c r="Z180" i="2" s="1"/>
  <c r="T177" i="2"/>
  <c r="Z177" i="2" s="1"/>
  <c r="T175" i="2"/>
  <c r="Z175" i="2" s="1"/>
  <c r="T174" i="2"/>
  <c r="Z174" i="2" s="1"/>
  <c r="I676" i="18" s="1"/>
  <c r="T172" i="2"/>
  <c r="Z172" i="2" s="1"/>
  <c r="T169" i="2"/>
  <c r="Z169" i="2" s="1"/>
  <c r="T168" i="2"/>
  <c r="Z168" i="2" s="1"/>
  <c r="T167" i="2"/>
  <c r="Z167" i="2" s="1"/>
  <c r="V166" i="2"/>
  <c r="L191" i="2"/>
  <c r="L190" i="2"/>
  <c r="L189" i="2"/>
  <c r="L188" i="2"/>
  <c r="L186" i="2"/>
  <c r="L185" i="2"/>
  <c r="L183" i="2"/>
  <c r="L182" i="2" s="1"/>
  <c r="H85" i="8" s="1"/>
  <c r="L181" i="2"/>
  <c r="L180" i="2"/>
  <c r="L179" i="2"/>
  <c r="L177" i="2"/>
  <c r="L175" i="2"/>
  <c r="L174" i="2"/>
  <c r="L172" i="2"/>
  <c r="L171" i="2"/>
  <c r="J191" i="2"/>
  <c r="J190" i="2"/>
  <c r="J189" i="2"/>
  <c r="J188" i="2"/>
  <c r="J186" i="2"/>
  <c r="J185" i="2"/>
  <c r="J183" i="2"/>
  <c r="J182" i="2" s="1"/>
  <c r="E85" i="8" s="1"/>
  <c r="J181" i="2"/>
  <c r="J180" i="2"/>
  <c r="J179" i="2"/>
  <c r="J175" i="2"/>
  <c r="J174" i="2"/>
  <c r="J172" i="2"/>
  <c r="J171" i="2"/>
  <c r="L169" i="2"/>
  <c r="L168" i="2"/>
  <c r="L167" i="2"/>
  <c r="J169" i="2"/>
  <c r="J168" i="2"/>
  <c r="J167" i="2"/>
  <c r="J166" i="2"/>
  <c r="Z140" i="5" l="1"/>
  <c r="I374" i="18" s="1"/>
  <c r="I262" i="18"/>
  <c r="AB118" i="3"/>
  <c r="I266" i="18"/>
  <c r="AB122" i="3"/>
  <c r="I267" i="18"/>
  <c r="AB123" i="3"/>
  <c r="Z139" i="5"/>
  <c r="K197" i="8" s="1"/>
  <c r="E101" i="15" s="1"/>
  <c r="AB140" i="5"/>
  <c r="AB70" i="5"/>
  <c r="AB68" i="5" s="1"/>
  <c r="M182" i="8" s="1"/>
  <c r="D78" i="15" s="1"/>
  <c r="I177" i="18"/>
  <c r="AB84" i="5"/>
  <c r="T191" i="2"/>
  <c r="Z191" i="2" s="1"/>
  <c r="AB191" i="2" s="1"/>
  <c r="T171" i="2"/>
  <c r="Z171" i="2" s="1"/>
  <c r="I674" i="18" s="1"/>
  <c r="AB41" i="6"/>
  <c r="AB42" i="6"/>
  <c r="AB29" i="5"/>
  <c r="I298" i="18"/>
  <c r="Z18" i="5"/>
  <c r="K167" i="8" s="1"/>
  <c r="E57" i="15" s="1"/>
  <c r="AB19" i="5"/>
  <c r="AB18" i="5" s="1"/>
  <c r="V40" i="6"/>
  <c r="I205" i="8" s="1"/>
  <c r="Z105" i="4"/>
  <c r="I164" i="18"/>
  <c r="AB78" i="4"/>
  <c r="AB77" i="4" s="1"/>
  <c r="M141" i="8" s="1"/>
  <c r="D76" i="13" s="1"/>
  <c r="AA122" i="4"/>
  <c r="AA121" i="4" s="1"/>
  <c r="Y121" i="4"/>
  <c r="T47" i="3"/>
  <c r="Z47" i="3" s="1"/>
  <c r="I226" i="18" s="1"/>
  <c r="V47" i="3"/>
  <c r="Z34" i="3"/>
  <c r="I160" i="8"/>
  <c r="I159" i="8" s="1"/>
  <c r="V167" i="4"/>
  <c r="I49" i="18"/>
  <c r="I171" i="18"/>
  <c r="T178" i="2"/>
  <c r="X178" i="2"/>
  <c r="T179" i="2"/>
  <c r="Z179" i="2" s="1"/>
  <c r="I680" i="18" s="1"/>
  <c r="X179" i="2"/>
  <c r="Z59" i="3"/>
  <c r="I238" i="18"/>
  <c r="AB61" i="3"/>
  <c r="I240" i="18"/>
  <c r="AB63" i="3"/>
  <c r="AB37" i="5"/>
  <c r="I370" i="18"/>
  <c r="AB135" i="5"/>
  <c r="AB134" i="5" s="1"/>
  <c r="M196" i="8" s="1"/>
  <c r="D100" i="15" s="1"/>
  <c r="V5" i="5"/>
  <c r="I163" i="8" s="1"/>
  <c r="Z7" i="5"/>
  <c r="I275" i="18" s="1"/>
  <c r="AB22" i="4"/>
  <c r="M126" i="8" s="1"/>
  <c r="D49" i="13" s="1"/>
  <c r="Z83" i="4"/>
  <c r="AB21" i="4"/>
  <c r="I123" i="18"/>
  <c r="E169" i="8"/>
  <c r="J17" i="5"/>
  <c r="E167" i="8"/>
  <c r="X20" i="5"/>
  <c r="V18" i="5"/>
  <c r="I167" i="8" s="1"/>
  <c r="AB41" i="5"/>
  <c r="AB40" i="5" s="1"/>
  <c r="M173" i="8" s="1"/>
  <c r="D63" i="15" s="1"/>
  <c r="Z40" i="5"/>
  <c r="K173" i="8" s="1"/>
  <c r="E63" i="15" s="1"/>
  <c r="Z58" i="5"/>
  <c r="K179" i="8" s="1"/>
  <c r="AB5" i="6"/>
  <c r="AB31" i="6"/>
  <c r="AB59" i="5"/>
  <c r="AB58" i="5" s="1"/>
  <c r="M179" i="8" s="1"/>
  <c r="Z36" i="5"/>
  <c r="K172" i="8" s="1"/>
  <c r="E62" i="15" s="1"/>
  <c r="AB9" i="5"/>
  <c r="M164" i="8" s="1"/>
  <c r="I173" i="8"/>
  <c r="X41" i="5"/>
  <c r="X40" i="5" s="1"/>
  <c r="I224" i="18"/>
  <c r="AB42" i="3"/>
  <c r="AB14" i="6"/>
  <c r="M201" i="8" s="1"/>
  <c r="D45" i="17" s="1"/>
  <c r="T50" i="3"/>
  <c r="Z50" i="3" s="1"/>
  <c r="I229" i="18" s="1"/>
  <c r="X50" i="3"/>
  <c r="AB39" i="5"/>
  <c r="K157" i="8"/>
  <c r="E108" i="13" s="1"/>
  <c r="AB156" i="4"/>
  <c r="AB150" i="4" s="1"/>
  <c r="M157" i="8" s="1"/>
  <c r="D108" i="13" s="1"/>
  <c r="I105" i="18"/>
  <c r="Z36" i="4"/>
  <c r="AB36" i="4" s="1"/>
  <c r="AB20" i="4"/>
  <c r="I122" i="18"/>
  <c r="AB26" i="6"/>
  <c r="Z126" i="3"/>
  <c r="Z125" i="3" s="1"/>
  <c r="T205" i="2"/>
  <c r="Z205" i="2" s="1"/>
  <c r="I699" i="18" s="1"/>
  <c r="X205" i="2"/>
  <c r="X203" i="2" s="1"/>
  <c r="I692" i="18"/>
  <c r="AB196" i="2"/>
  <c r="I257" i="18"/>
  <c r="AB112" i="3"/>
  <c r="Z56" i="3"/>
  <c r="I234" i="18" s="1"/>
  <c r="T29" i="3"/>
  <c r="Z29" i="3" s="1"/>
  <c r="V29" i="3"/>
  <c r="X29" i="3" s="1"/>
  <c r="T30" i="3"/>
  <c r="Z30" i="3" s="1"/>
  <c r="AB30" i="3" s="1"/>
  <c r="V30" i="3"/>
  <c r="X30" i="3" s="1"/>
  <c r="AB131" i="3"/>
  <c r="I272" i="18"/>
  <c r="AB169" i="4"/>
  <c r="AB168" i="4" s="1"/>
  <c r="AB167" i="4" s="1"/>
  <c r="M159" i="8" s="1"/>
  <c r="Z168" i="4"/>
  <c r="K160" i="8" s="1"/>
  <c r="K159" i="8" s="1"/>
  <c r="AB105" i="5"/>
  <c r="M190" i="8" s="1"/>
  <c r="D91" i="15" s="1"/>
  <c r="AB26" i="5"/>
  <c r="M169" i="8" s="1"/>
  <c r="AB88" i="5"/>
  <c r="AB131" i="5"/>
  <c r="M195" i="8" s="1"/>
  <c r="D99" i="15" s="1"/>
  <c r="AB12" i="5"/>
  <c r="M165" i="8" s="1"/>
  <c r="D49" i="15" s="1"/>
  <c r="AB89" i="5"/>
  <c r="AB116" i="5"/>
  <c r="M193" i="8" s="1"/>
  <c r="D97" i="15" s="1"/>
  <c r="AB61" i="5"/>
  <c r="M180" i="8" s="1"/>
  <c r="D76" i="15" s="1"/>
  <c r="AB43" i="5"/>
  <c r="M174" i="8" s="1"/>
  <c r="D64" i="15" s="1"/>
  <c r="X107" i="5"/>
  <c r="V105" i="5"/>
  <c r="I190" i="8" s="1"/>
  <c r="AB99" i="5"/>
  <c r="M189" i="8" s="1"/>
  <c r="D90" i="15" s="1"/>
  <c r="I254" i="18"/>
  <c r="T200" i="2"/>
  <c r="I274" i="18"/>
  <c r="AB52" i="3"/>
  <c r="I231" i="18"/>
  <c r="AB51" i="3"/>
  <c r="I230" i="18"/>
  <c r="AB49" i="3"/>
  <c r="I228" i="18"/>
  <c r="AB48" i="3"/>
  <c r="I227" i="18"/>
  <c r="AB39" i="3"/>
  <c r="I222" i="18"/>
  <c r="AB38" i="3"/>
  <c r="I221" i="18"/>
  <c r="AB37" i="3"/>
  <c r="I220" i="18"/>
  <c r="AB18" i="3"/>
  <c r="I206" i="18"/>
  <c r="AB17" i="3"/>
  <c r="I205" i="18"/>
  <c r="AB13" i="3"/>
  <c r="I203" i="18"/>
  <c r="AB12" i="3"/>
  <c r="I202" i="18"/>
  <c r="AB7" i="3"/>
  <c r="I198" i="18"/>
  <c r="AB54" i="5"/>
  <c r="AB49" i="5" s="1"/>
  <c r="M176" i="8" s="1"/>
  <c r="I311" i="18"/>
  <c r="X169" i="4"/>
  <c r="X168" i="4" s="1"/>
  <c r="X167" i="4" s="1"/>
  <c r="H167" i="4" s="1"/>
  <c r="AB90" i="3"/>
  <c r="I244" i="18"/>
  <c r="AB89" i="3"/>
  <c r="I243" i="18"/>
  <c r="AB88" i="3"/>
  <c r="I242" i="18"/>
  <c r="AB80" i="5"/>
  <c r="I327" i="18"/>
  <c r="AB49" i="6"/>
  <c r="I16" i="18"/>
  <c r="I40" i="18"/>
  <c r="AB50" i="6"/>
  <c r="I17" i="18"/>
  <c r="Z45" i="6"/>
  <c r="I13" i="18" s="1"/>
  <c r="AB190" i="2"/>
  <c r="I688" i="18"/>
  <c r="AB189" i="2"/>
  <c r="I687" i="18"/>
  <c r="AB186" i="2"/>
  <c r="I685" i="18"/>
  <c r="AB183" i="2"/>
  <c r="AB182" i="2" s="1"/>
  <c r="M85" i="8" s="1"/>
  <c r="D97" i="10" s="1"/>
  <c r="I683" i="18"/>
  <c r="Z181" i="2"/>
  <c r="AB181" i="2" s="1"/>
  <c r="X181" i="2"/>
  <c r="AB180" i="2"/>
  <c r="I681" i="18"/>
  <c r="AB177" i="2"/>
  <c r="I678" i="18"/>
  <c r="AB175" i="2"/>
  <c r="I677" i="18"/>
  <c r="AB172" i="2"/>
  <c r="I675" i="18"/>
  <c r="AB169" i="2"/>
  <c r="I673" i="18"/>
  <c r="AB168" i="2"/>
  <c r="I672" i="18"/>
  <c r="AB167" i="2"/>
  <c r="I671" i="18"/>
  <c r="AB144" i="4"/>
  <c r="M156" i="8" s="1"/>
  <c r="D107" i="13" s="1"/>
  <c r="AB134" i="4"/>
  <c r="I85" i="18"/>
  <c r="AB67" i="4"/>
  <c r="I156" i="18"/>
  <c r="AB68" i="4"/>
  <c r="I157" i="18"/>
  <c r="AB109" i="4"/>
  <c r="M151" i="8" s="1"/>
  <c r="D98" i="13" s="1"/>
  <c r="AB72" i="4"/>
  <c r="AB69" i="4" s="1"/>
  <c r="M139" i="8" s="1"/>
  <c r="D74" i="13" s="1"/>
  <c r="I160" i="18"/>
  <c r="AB46" i="4"/>
  <c r="M132" i="8" s="1"/>
  <c r="D62" i="13" s="1"/>
  <c r="AB13" i="4"/>
  <c r="I115" i="18"/>
  <c r="AB87" i="4"/>
  <c r="I170" i="18"/>
  <c r="AB14" i="4"/>
  <c r="I116" i="18"/>
  <c r="AB50" i="4"/>
  <c r="M133" i="8" s="1"/>
  <c r="D63" i="13" s="1"/>
  <c r="AB141" i="4"/>
  <c r="I92" i="18"/>
  <c r="K145" i="8"/>
  <c r="E85" i="13" s="1"/>
  <c r="I44" i="18"/>
  <c r="AB18" i="4"/>
  <c r="I120" i="18"/>
  <c r="AB84" i="4"/>
  <c r="I167" i="18"/>
  <c r="I211" i="18"/>
  <c r="AB99" i="3"/>
  <c r="I247" i="18"/>
  <c r="AB98" i="3"/>
  <c r="I246" i="18"/>
  <c r="AB95" i="3"/>
  <c r="I196" i="18"/>
  <c r="AB94" i="3"/>
  <c r="I195" i="18"/>
  <c r="AB93" i="3"/>
  <c r="I194" i="18"/>
  <c r="AB92" i="3"/>
  <c r="I193" i="18"/>
  <c r="AB85" i="3"/>
  <c r="I192" i="18"/>
  <c r="AB84" i="3"/>
  <c r="I191" i="18"/>
  <c r="AB82" i="3"/>
  <c r="I189" i="18"/>
  <c r="AB81" i="3"/>
  <c r="I188" i="18"/>
  <c r="AB80" i="3"/>
  <c r="I187" i="18"/>
  <c r="AB79" i="3"/>
  <c r="I186" i="18"/>
  <c r="AB78" i="3"/>
  <c r="I185" i="18"/>
  <c r="AB77" i="3"/>
  <c r="I184" i="18"/>
  <c r="AB76" i="3"/>
  <c r="I183" i="18"/>
  <c r="AB75" i="3"/>
  <c r="I182" i="18"/>
  <c r="AB74" i="3"/>
  <c r="I181" i="18"/>
  <c r="AB72" i="3"/>
  <c r="I180" i="18"/>
  <c r="AB70" i="3"/>
  <c r="I178" i="18"/>
  <c r="I15" i="18"/>
  <c r="AB48" i="6"/>
  <c r="Z47" i="6"/>
  <c r="AB51" i="6"/>
  <c r="I18" i="18"/>
  <c r="AB121" i="3"/>
  <c r="I265" i="18"/>
  <c r="AB114" i="3"/>
  <c r="I259" i="18"/>
  <c r="AB111" i="3"/>
  <c r="I256" i="18"/>
  <c r="AB106" i="3"/>
  <c r="I252" i="18"/>
  <c r="AB105" i="3"/>
  <c r="I251" i="18"/>
  <c r="AB104" i="3"/>
  <c r="I250" i="18"/>
  <c r="AB103" i="3"/>
  <c r="I249" i="18"/>
  <c r="AB102" i="3"/>
  <c r="I248" i="18"/>
  <c r="AB62" i="3"/>
  <c r="I239" i="18"/>
  <c r="AB60" i="3"/>
  <c r="I237" i="18"/>
  <c r="AB58" i="3"/>
  <c r="I236" i="18"/>
  <c r="AB57" i="3"/>
  <c r="I235" i="18"/>
  <c r="AB55" i="3"/>
  <c r="I233" i="18"/>
  <c r="AB199" i="2"/>
  <c r="I694" i="18"/>
  <c r="AB197" i="2"/>
  <c r="I693" i="18"/>
  <c r="AB195" i="2"/>
  <c r="I691" i="18"/>
  <c r="J40" i="3"/>
  <c r="E103" i="8" s="1"/>
  <c r="L40" i="3"/>
  <c r="H103" i="8" s="1"/>
  <c r="V47" i="6"/>
  <c r="I206" i="8" s="1"/>
  <c r="AB74" i="5"/>
  <c r="M183" i="8" s="1"/>
  <c r="D79" i="15" s="1"/>
  <c r="AB139" i="5"/>
  <c r="M197" i="8" s="1"/>
  <c r="D101" i="15" s="1"/>
  <c r="Z110" i="5"/>
  <c r="AB115" i="5"/>
  <c r="AB110" i="5" s="1"/>
  <c r="AB94" i="5"/>
  <c r="M188" i="8" s="1"/>
  <c r="D89" i="15" s="1"/>
  <c r="X9" i="5"/>
  <c r="M181" i="8"/>
  <c r="D77" i="15" s="1"/>
  <c r="AB32" i="5"/>
  <c r="M171" i="8" s="1"/>
  <c r="D61" i="15" s="1"/>
  <c r="AB23" i="5"/>
  <c r="M168" i="8" s="1"/>
  <c r="D58" i="15" s="1"/>
  <c r="AB92" i="5"/>
  <c r="M187" i="8" s="1"/>
  <c r="AB55" i="5"/>
  <c r="V98" i="4"/>
  <c r="Z100" i="4"/>
  <c r="K149" i="8" s="1"/>
  <c r="E96" i="13" s="1"/>
  <c r="AB102" i="4"/>
  <c r="AB100" i="4" s="1"/>
  <c r="M149" i="8" s="1"/>
  <c r="AB61" i="4"/>
  <c r="M137" i="8" s="1"/>
  <c r="D72" i="13" s="1"/>
  <c r="AB57" i="4"/>
  <c r="M135" i="8" s="1"/>
  <c r="D65" i="13" s="1"/>
  <c r="AB105" i="4"/>
  <c r="M150" i="8" s="1"/>
  <c r="D97" i="13" s="1"/>
  <c r="AB53" i="4"/>
  <c r="M134" i="8" s="1"/>
  <c r="D64" i="13" s="1"/>
  <c r="AB98" i="4"/>
  <c r="AA110" i="4"/>
  <c r="AA109" i="4" s="1"/>
  <c r="Y109" i="4"/>
  <c r="K151" i="8" s="1"/>
  <c r="E98" i="13" s="1"/>
  <c r="AB27" i="4"/>
  <c r="M128" i="8" s="1"/>
  <c r="D57" i="13" s="1"/>
  <c r="Z66" i="3"/>
  <c r="Z32" i="3"/>
  <c r="Z40" i="3"/>
  <c r="K103" i="8" s="1"/>
  <c r="E47" i="12" s="1"/>
  <c r="I175" i="18"/>
  <c r="M170" i="8"/>
  <c r="D60" i="15" s="1"/>
  <c r="J48" i="5"/>
  <c r="E178" i="8"/>
  <c r="J57" i="5"/>
  <c r="V74" i="5"/>
  <c r="I183" i="8" s="1"/>
  <c r="X5" i="5"/>
  <c r="X74" i="5"/>
  <c r="X12" i="5"/>
  <c r="X131" i="5"/>
  <c r="X32" i="5"/>
  <c r="X61" i="5"/>
  <c r="V91" i="4"/>
  <c r="I145" i="8" s="1"/>
  <c r="J203" i="2"/>
  <c r="E91" i="8" s="1"/>
  <c r="V22" i="6"/>
  <c r="I202" i="8" s="1"/>
  <c r="H203" i="8"/>
  <c r="X94" i="5"/>
  <c r="V110" i="5"/>
  <c r="I192" i="8" s="1"/>
  <c r="V9" i="5"/>
  <c r="I164" i="8" s="1"/>
  <c r="X78" i="5"/>
  <c r="V61" i="5"/>
  <c r="I180" i="8" s="1"/>
  <c r="V32" i="5"/>
  <c r="I171" i="8" s="1"/>
  <c r="Z49" i="5"/>
  <c r="X26" i="5"/>
  <c r="L4" i="5"/>
  <c r="V94" i="5"/>
  <c r="I188" i="8" s="1"/>
  <c r="H162" i="8"/>
  <c r="V12" i="5"/>
  <c r="I165" i="8" s="1"/>
  <c r="X56" i="5"/>
  <c r="X55" i="5" s="1"/>
  <c r="X116" i="5"/>
  <c r="E162" i="8"/>
  <c r="H143" i="8"/>
  <c r="X78" i="4"/>
  <c r="X77" i="4" s="1"/>
  <c r="J82" i="4"/>
  <c r="J184" i="2"/>
  <c r="E86" i="8" s="1"/>
  <c r="V172" i="2"/>
  <c r="X172" i="2" s="1"/>
  <c r="Y69" i="4"/>
  <c r="X22" i="4"/>
  <c r="Y57" i="4"/>
  <c r="AA70" i="4"/>
  <c r="AA69" i="4" s="1"/>
  <c r="AA22" i="4"/>
  <c r="J28" i="3"/>
  <c r="E100" i="8" s="1"/>
  <c r="T8" i="3"/>
  <c r="Z8" i="3" s="1"/>
  <c r="L203" i="2"/>
  <c r="H91" i="8" s="1"/>
  <c r="L165" i="2"/>
  <c r="H81" i="8" s="1"/>
  <c r="J193" i="2"/>
  <c r="E89" i="8" s="1"/>
  <c r="J170" i="2"/>
  <c r="E82" i="8" s="1"/>
  <c r="J91" i="3"/>
  <c r="E114" i="8" s="1"/>
  <c r="J68" i="3"/>
  <c r="E111" i="8" s="1"/>
  <c r="AA144" i="4"/>
  <c r="X169" i="2"/>
  <c r="X138" i="5"/>
  <c r="X134" i="5" s="1"/>
  <c r="V134" i="5"/>
  <c r="I196" i="8" s="1"/>
  <c r="J173" i="2"/>
  <c r="E83" i="8" s="1"/>
  <c r="J187" i="2"/>
  <c r="E87" i="8" s="1"/>
  <c r="V175" i="2"/>
  <c r="X175" i="2" s="1"/>
  <c r="T204" i="2"/>
  <c r="Z204" i="2" s="1"/>
  <c r="T127" i="3"/>
  <c r="X127" i="3"/>
  <c r="Y100" i="4"/>
  <c r="L26" i="4"/>
  <c r="AB127" i="5"/>
  <c r="V26" i="5"/>
  <c r="I169" i="8" s="1"/>
  <c r="X43" i="6"/>
  <c r="X40" i="6" s="1"/>
  <c r="X186" i="2"/>
  <c r="X196" i="2"/>
  <c r="T6" i="2"/>
  <c r="Y22" i="4"/>
  <c r="J4" i="5"/>
  <c r="L48" i="5"/>
  <c r="E184" i="8"/>
  <c r="V183" i="2"/>
  <c r="X183" i="2" s="1"/>
  <c r="X182" i="2" s="1"/>
  <c r="V190" i="2"/>
  <c r="X190" i="2" s="1"/>
  <c r="T201" i="2"/>
  <c r="Z201" i="2" s="1"/>
  <c r="X199" i="2"/>
  <c r="T10" i="3"/>
  <c r="Z10" i="3" s="1"/>
  <c r="V98" i="3"/>
  <c r="X98" i="3" s="1"/>
  <c r="AA78" i="4"/>
  <c r="AA77" i="4" s="1"/>
  <c r="W22" i="4"/>
  <c r="V116" i="5"/>
  <c r="I193" i="8" s="1"/>
  <c r="V78" i="5"/>
  <c r="I185" i="8" s="1"/>
  <c r="X69" i="4"/>
  <c r="X24" i="5"/>
  <c r="X23" i="5" s="1"/>
  <c r="V23" i="5"/>
  <c r="I168" i="8" s="1"/>
  <c r="T202" i="2"/>
  <c r="Z202" i="2" s="1"/>
  <c r="Y83" i="4"/>
  <c r="V31" i="6"/>
  <c r="I204" i="8" s="1"/>
  <c r="X111" i="5"/>
  <c r="X110" i="5" s="1"/>
  <c r="X22" i="6"/>
  <c r="X17" i="6"/>
  <c r="X14" i="6" s="1"/>
  <c r="V14" i="6"/>
  <c r="I201" i="8" s="1"/>
  <c r="T128" i="3"/>
  <c r="X128" i="3"/>
  <c r="T9" i="3"/>
  <c r="Z9" i="3" s="1"/>
  <c r="AB25" i="3"/>
  <c r="AA101" i="4"/>
  <c r="V49" i="5"/>
  <c r="I176" i="8" s="1"/>
  <c r="I175" i="8" s="1"/>
  <c r="D112" i="15" s="1"/>
  <c r="J30" i="6"/>
  <c r="L57" i="5"/>
  <c r="J97" i="4"/>
  <c r="H127" i="8"/>
  <c r="H199" i="8"/>
  <c r="E152" i="8"/>
  <c r="V83" i="4"/>
  <c r="I144" i="8" s="1"/>
  <c r="H124" i="8"/>
  <c r="V50" i="4"/>
  <c r="I133" i="8" s="1"/>
  <c r="X25" i="3"/>
  <c r="Y140" i="4"/>
  <c r="AA64" i="4"/>
  <c r="Y144" i="4"/>
  <c r="Y91" i="4"/>
  <c r="Y46" i="4"/>
  <c r="X50" i="4"/>
  <c r="Y150" i="4"/>
  <c r="Y79" i="4"/>
  <c r="Y27" i="4"/>
  <c r="Y64" i="4"/>
  <c r="X144" i="4"/>
  <c r="AA33" i="4"/>
  <c r="AA26" i="4" s="1"/>
  <c r="AA105" i="4"/>
  <c r="AA53" i="4"/>
  <c r="W33" i="4"/>
  <c r="W26" i="4" s="1"/>
  <c r="Y105" i="4"/>
  <c r="Y53" i="4"/>
  <c r="Y5" i="4"/>
  <c r="Z5" i="4" s="1"/>
  <c r="Z4" i="4" s="1"/>
  <c r="E124" i="8"/>
  <c r="E127" i="8"/>
  <c r="AA140" i="4"/>
  <c r="AA153" i="4"/>
  <c r="AA150" i="4" s="1"/>
  <c r="AA104" i="4"/>
  <c r="W100" i="4"/>
  <c r="AA90" i="4"/>
  <c r="AA83" i="4" s="1"/>
  <c r="AA80" i="4"/>
  <c r="AA79" i="4" s="1"/>
  <c r="AA74" i="4"/>
  <c r="AA52" i="4"/>
  <c r="AA50" i="4" s="1"/>
  <c r="AA6" i="4"/>
  <c r="AA5" i="4" s="1"/>
  <c r="AB138" i="4"/>
  <c r="X62" i="4"/>
  <c r="X61" i="4" s="1"/>
  <c r="V61" i="4"/>
  <c r="I137" i="8" s="1"/>
  <c r="X151" i="4"/>
  <c r="X150" i="4" s="1"/>
  <c r="V150" i="4"/>
  <c r="I157" i="8" s="1"/>
  <c r="L97" i="4"/>
  <c r="AA137" i="4"/>
  <c r="AA136" i="4" s="1"/>
  <c r="AA96" i="4"/>
  <c r="AA95" i="4" s="1"/>
  <c r="AA92" i="4"/>
  <c r="AA91" i="4" s="1"/>
  <c r="Y61" i="4"/>
  <c r="Z61" i="4" s="1"/>
  <c r="K137" i="8" s="1"/>
  <c r="E72" i="13" s="1"/>
  <c r="AA47" i="4"/>
  <c r="AA46" i="4" s="1"/>
  <c r="Y33" i="4"/>
  <c r="X6" i="4"/>
  <c r="X5" i="4" s="1"/>
  <c r="V5" i="4"/>
  <c r="I125" i="8" s="1"/>
  <c r="Z69" i="4"/>
  <c r="K139" i="8" s="1"/>
  <c r="E74" i="13" s="1"/>
  <c r="V140" i="4"/>
  <c r="I155" i="8" s="1"/>
  <c r="V136" i="4"/>
  <c r="X137" i="4"/>
  <c r="X136" i="4" s="1"/>
  <c r="X121" i="4"/>
  <c r="V121" i="4"/>
  <c r="I152" i="8" s="1"/>
  <c r="AB92" i="4"/>
  <c r="K148" i="8"/>
  <c r="V73" i="4"/>
  <c r="I140" i="8" s="1"/>
  <c r="V53" i="4"/>
  <c r="I134" i="8" s="1"/>
  <c r="X54" i="4"/>
  <c r="X53" i="4" s="1"/>
  <c r="J26" i="4"/>
  <c r="X91" i="4"/>
  <c r="E144" i="8"/>
  <c r="E143" i="8" s="1"/>
  <c r="Z64" i="4"/>
  <c r="K138" i="8" s="1"/>
  <c r="E73" i="13" s="1"/>
  <c r="V144" i="4"/>
  <c r="I156" i="8" s="1"/>
  <c r="H153" i="8"/>
  <c r="X47" i="4"/>
  <c r="X46" i="4" s="1"/>
  <c r="V46" i="4"/>
  <c r="I132" i="8" s="1"/>
  <c r="H178" i="8"/>
  <c r="J73" i="3"/>
  <c r="E112" i="8" s="1"/>
  <c r="X88" i="3"/>
  <c r="J21" i="3"/>
  <c r="E98" i="8" s="1"/>
  <c r="L28" i="3"/>
  <c r="H100" i="8" s="1"/>
  <c r="L86" i="3"/>
  <c r="H113" i="8" s="1"/>
  <c r="V97" i="3"/>
  <c r="X97" i="3" s="1"/>
  <c r="AB119" i="3"/>
  <c r="X35" i="3"/>
  <c r="V89" i="3"/>
  <c r="X89" i="3" s="1"/>
  <c r="T23" i="3"/>
  <c r="J24" i="3"/>
  <c r="E99" i="8" s="1"/>
  <c r="V82" i="3"/>
  <c r="X82" i="3" s="1"/>
  <c r="J16" i="3"/>
  <c r="E97" i="8" s="1"/>
  <c r="J59" i="3"/>
  <c r="E108" i="8" s="1"/>
  <c r="V84" i="3"/>
  <c r="X84" i="3" s="1"/>
  <c r="V22" i="3"/>
  <c r="V21" i="3" s="1"/>
  <c r="I98" i="8" s="1"/>
  <c r="X75" i="3"/>
  <c r="X114" i="3"/>
  <c r="Z130" i="3"/>
  <c r="T31" i="3"/>
  <c r="L11" i="3"/>
  <c r="H95" i="8" s="1"/>
  <c r="V48" i="3"/>
  <c r="X48" i="3" s="1"/>
  <c r="X99" i="3"/>
  <c r="X56" i="3"/>
  <c r="V103" i="3"/>
  <c r="X103" i="3" s="1"/>
  <c r="J64" i="3"/>
  <c r="E109" i="8" s="1"/>
  <c r="L68" i="3"/>
  <c r="AB109" i="3"/>
  <c r="X115" i="3"/>
  <c r="AB44" i="6"/>
  <c r="X191" i="2"/>
  <c r="L187" i="2"/>
  <c r="H87" i="8" s="1"/>
  <c r="X189" i="2"/>
  <c r="AB188" i="2"/>
  <c r="AB185" i="2"/>
  <c r="Z184" i="2"/>
  <c r="K86" i="8" s="1"/>
  <c r="E98" i="10" s="1"/>
  <c r="L184" i="2"/>
  <c r="H86" i="8" s="1"/>
  <c r="Z182" i="2"/>
  <c r="K85" i="8" s="1"/>
  <c r="E97" i="10" s="1"/>
  <c r="X180" i="2"/>
  <c r="V177" i="2"/>
  <c r="AB174" i="2"/>
  <c r="Z173" i="2"/>
  <c r="K83" i="8" s="1"/>
  <c r="E95" i="10" s="1"/>
  <c r="V174" i="2"/>
  <c r="L173" i="2"/>
  <c r="H83" i="8" s="1"/>
  <c r="L170" i="2"/>
  <c r="H82" i="8" s="1"/>
  <c r="J165" i="2"/>
  <c r="E81" i="8" s="1"/>
  <c r="V168" i="2"/>
  <c r="X168" i="2" s="1"/>
  <c r="L21" i="3"/>
  <c r="H98" i="8" s="1"/>
  <c r="M146" i="8"/>
  <c r="D86" i="13" s="1"/>
  <c r="L17" i="5"/>
  <c r="H171" i="8"/>
  <c r="H166" i="8" s="1"/>
  <c r="AB6" i="5"/>
  <c r="X31" i="5"/>
  <c r="X30" i="5" s="1"/>
  <c r="V30" i="5"/>
  <c r="I170" i="8" s="1"/>
  <c r="X36" i="5"/>
  <c r="V36" i="5"/>
  <c r="I172" i="8" s="1"/>
  <c r="X19" i="5"/>
  <c r="AB132" i="3"/>
  <c r="L24" i="3"/>
  <c r="H99" i="8" s="1"/>
  <c r="L82" i="4"/>
  <c r="V90" i="3"/>
  <c r="X90" i="3" s="1"/>
  <c r="J86" i="3"/>
  <c r="E113" i="8" s="1"/>
  <c r="H115" i="8"/>
  <c r="J96" i="3"/>
  <c r="E115" i="8" s="1"/>
  <c r="L91" i="3"/>
  <c r="H114" i="8" s="1"/>
  <c r="T83" i="3"/>
  <c r="Z83" i="3" s="1"/>
  <c r="X74" i="3"/>
  <c r="T71" i="3"/>
  <c r="Z71" i="3" s="1"/>
  <c r="Z68" i="3" s="1"/>
  <c r="V70" i="3"/>
  <c r="X70" i="3" s="1"/>
  <c r="AB69" i="3"/>
  <c r="V69" i="3"/>
  <c r="X69" i="3" s="1"/>
  <c r="H147" i="8"/>
  <c r="E203" i="8"/>
  <c r="V68" i="5"/>
  <c r="I182" i="8" s="1"/>
  <c r="X69" i="5"/>
  <c r="X68" i="5" s="1"/>
  <c r="X67" i="5"/>
  <c r="X66" i="5" s="1"/>
  <c r="V66" i="5"/>
  <c r="I181" i="8" s="1"/>
  <c r="X58" i="5"/>
  <c r="V58" i="5"/>
  <c r="I179" i="8" s="1"/>
  <c r="L135" i="4"/>
  <c r="X101" i="4"/>
  <c r="X100" i="4" s="1"/>
  <c r="V100" i="4"/>
  <c r="I149" i="8" s="1"/>
  <c r="H184" i="8"/>
  <c r="AB79" i="5"/>
  <c r="Z78" i="5"/>
  <c r="X85" i="5"/>
  <c r="V85" i="5"/>
  <c r="I186" i="8" s="1"/>
  <c r="E153" i="8"/>
  <c r="AB97" i="3"/>
  <c r="Z96" i="3"/>
  <c r="Z91" i="3"/>
  <c r="K114" i="8" s="1"/>
  <c r="E65" i="12" s="1"/>
  <c r="AB41" i="3"/>
  <c r="AB87" i="3"/>
  <c r="Z86" i="3"/>
  <c r="K113" i="8" s="1"/>
  <c r="E62" i="12" s="1"/>
  <c r="AB22" i="3"/>
  <c r="V38" i="3"/>
  <c r="X38" i="3" s="1"/>
  <c r="X32" i="3"/>
  <c r="V41" i="3"/>
  <c r="J54" i="3"/>
  <c r="E107" i="8" s="1"/>
  <c r="X65" i="3"/>
  <c r="X76" i="3"/>
  <c r="V79" i="3"/>
  <c r="X79" i="3" s="1"/>
  <c r="V92" i="3"/>
  <c r="X116" i="3"/>
  <c r="Z43" i="3"/>
  <c r="K104" i="8" s="1"/>
  <c r="E48" i="12" s="1"/>
  <c r="AB44" i="3"/>
  <c r="V87" i="3"/>
  <c r="J125" i="3"/>
  <c r="E121" i="8" s="1"/>
  <c r="E120" i="8" s="1"/>
  <c r="T27" i="3"/>
  <c r="Z27" i="3" s="1"/>
  <c r="X109" i="3"/>
  <c r="V26" i="3"/>
  <c r="X26" i="3" s="1"/>
  <c r="X36" i="3"/>
  <c r="V95" i="3"/>
  <c r="X95" i="3" s="1"/>
  <c r="V80" i="3"/>
  <c r="X80" i="3" s="1"/>
  <c r="V42" i="3"/>
  <c r="X42" i="3" s="1"/>
  <c r="X72" i="3"/>
  <c r="X78" i="3"/>
  <c r="V93" i="3"/>
  <c r="X93" i="3" s="1"/>
  <c r="V121" i="3"/>
  <c r="X121" i="3" s="1"/>
  <c r="V126" i="3"/>
  <c r="V108" i="3"/>
  <c r="X108" i="3" s="1"/>
  <c r="V81" i="3"/>
  <c r="X81" i="3" s="1"/>
  <c r="J5" i="3"/>
  <c r="V20" i="3"/>
  <c r="X20" i="3" s="1"/>
  <c r="X44" i="3"/>
  <c r="X43" i="3" s="1"/>
  <c r="L46" i="3"/>
  <c r="H106" i="8" s="1"/>
  <c r="L73" i="3"/>
  <c r="H112" i="8" s="1"/>
  <c r="V77" i="3"/>
  <c r="X77" i="3" s="1"/>
  <c r="V85" i="3"/>
  <c r="X85" i="3" s="1"/>
  <c r="V94" i="3"/>
  <c r="X94" i="3" s="1"/>
  <c r="V102" i="3"/>
  <c r="X102" i="3" s="1"/>
  <c r="X106" i="5"/>
  <c r="V99" i="5"/>
  <c r="I189" i="8" s="1"/>
  <c r="X100" i="5"/>
  <c r="X99" i="5" s="1"/>
  <c r="J77" i="5"/>
  <c r="L77" i="5"/>
  <c r="V123" i="3"/>
  <c r="X123" i="3" s="1"/>
  <c r="V122" i="3"/>
  <c r="X122" i="3" s="1"/>
  <c r="J117" i="3"/>
  <c r="E119" i="8" s="1"/>
  <c r="V38" i="4"/>
  <c r="I131" i="8" s="1"/>
  <c r="X39" i="4"/>
  <c r="X38" i="4" s="1"/>
  <c r="V118" i="3"/>
  <c r="V119" i="3"/>
  <c r="X119" i="3" s="1"/>
  <c r="L117" i="3"/>
  <c r="H119" i="8" s="1"/>
  <c r="Z117" i="3"/>
  <c r="K119" i="8" s="1"/>
  <c r="E72" i="12" s="1"/>
  <c r="L107" i="3"/>
  <c r="H118" i="8" s="1"/>
  <c r="J107" i="3"/>
  <c r="E118" i="8" s="1"/>
  <c r="X112" i="3"/>
  <c r="X111" i="3"/>
  <c r="X106" i="3"/>
  <c r="X105" i="3"/>
  <c r="J101" i="3"/>
  <c r="E117" i="8" s="1"/>
  <c r="Z101" i="3"/>
  <c r="V104" i="3"/>
  <c r="X104" i="3" s="1"/>
  <c r="L101" i="3"/>
  <c r="H117" i="8" s="1"/>
  <c r="L64" i="3"/>
  <c r="H109" i="8" s="1"/>
  <c r="V63" i="3"/>
  <c r="X63" i="3" s="1"/>
  <c r="X62" i="3"/>
  <c r="L59" i="3"/>
  <c r="H108" i="8" s="1"/>
  <c r="X61" i="3"/>
  <c r="V58" i="3"/>
  <c r="X58" i="3" s="1"/>
  <c r="V57" i="3"/>
  <c r="X57" i="3" s="1"/>
  <c r="L54" i="3"/>
  <c r="H107" i="8" s="1"/>
  <c r="V55" i="3"/>
  <c r="X200" i="2"/>
  <c r="X195" i="2"/>
  <c r="L193" i="2"/>
  <c r="H89" i="8" s="1"/>
  <c r="X194" i="2"/>
  <c r="T194" i="2"/>
  <c r="Z194" i="2" s="1"/>
  <c r="L30" i="6"/>
  <c r="L4" i="6"/>
  <c r="E199" i="8"/>
  <c r="J4" i="6"/>
  <c r="X5" i="6"/>
  <c r="V5" i="6"/>
  <c r="X73" i="4"/>
  <c r="V69" i="4"/>
  <c r="I139" i="8" s="1"/>
  <c r="X64" i="4"/>
  <c r="V64" i="4"/>
  <c r="I138" i="8" s="1"/>
  <c r="V131" i="5"/>
  <c r="I195" i="8" s="1"/>
  <c r="X123" i="5"/>
  <c r="V123" i="5"/>
  <c r="I194" i="8" s="1"/>
  <c r="J135" i="4"/>
  <c r="X35" i="4"/>
  <c r="X33" i="4" s="1"/>
  <c r="V33" i="4"/>
  <c r="I129" i="8" s="1"/>
  <c r="K128" i="8"/>
  <c r="E57" i="13" s="1"/>
  <c r="V27" i="4"/>
  <c r="I128" i="8" s="1"/>
  <c r="X28" i="4"/>
  <c r="X27" i="4" s="1"/>
  <c r="L4" i="4"/>
  <c r="J4" i="4"/>
  <c r="V43" i="5"/>
  <c r="I174" i="8" s="1"/>
  <c r="X44" i="5"/>
  <c r="X43" i="5" s="1"/>
  <c r="E151" i="8"/>
  <c r="X110" i="4"/>
  <c r="X109" i="4" s="1"/>
  <c r="V109" i="4"/>
  <c r="I151" i="8" s="1"/>
  <c r="V52" i="3"/>
  <c r="X52" i="3" s="1"/>
  <c r="V51" i="3"/>
  <c r="X51" i="3" s="1"/>
  <c r="J46" i="3"/>
  <c r="E106" i="8" s="1"/>
  <c r="X49" i="3"/>
  <c r="V39" i="3"/>
  <c r="X39" i="3" s="1"/>
  <c r="J34" i="3"/>
  <c r="L34" i="3"/>
  <c r="H102" i="8" s="1"/>
  <c r="X37" i="3"/>
  <c r="Z16" i="3"/>
  <c r="V19" i="3"/>
  <c r="X19" i="3" s="1"/>
  <c r="L16" i="3"/>
  <c r="H97" i="8" s="1"/>
  <c r="V18" i="3"/>
  <c r="X18" i="3" s="1"/>
  <c r="V17" i="3"/>
  <c r="J11" i="3"/>
  <c r="E95" i="8" s="1"/>
  <c r="V7" i="3"/>
  <c r="X7" i="3" s="1"/>
  <c r="L5" i="3"/>
  <c r="H94" i="8" s="1"/>
  <c r="Z6" i="3"/>
  <c r="X6" i="3"/>
  <c r="X140" i="5"/>
  <c r="X139" i="5" s="1"/>
  <c r="V139" i="5"/>
  <c r="I197" i="8" s="1"/>
  <c r="X50" i="5"/>
  <c r="X49" i="5" s="1"/>
  <c r="X80" i="4"/>
  <c r="X79" i="4" s="1"/>
  <c r="V79" i="4"/>
  <c r="I142" i="8" s="1"/>
  <c r="V57" i="4"/>
  <c r="I135" i="8" s="1"/>
  <c r="X58" i="4"/>
  <c r="X57" i="4" s="1"/>
  <c r="V22" i="4"/>
  <c r="I126" i="8" s="1"/>
  <c r="L125" i="3"/>
  <c r="H121" i="8" s="1"/>
  <c r="H120" i="8" s="1"/>
  <c r="X66" i="3"/>
  <c r="X31" i="6"/>
  <c r="X96" i="4"/>
  <c r="X95" i="4" s="1"/>
  <c r="V95" i="4"/>
  <c r="X83" i="4"/>
  <c r="V12" i="3"/>
  <c r="V13" i="3"/>
  <c r="X13" i="3" s="1"/>
  <c r="T14" i="3"/>
  <c r="X166" i="2"/>
  <c r="T166" i="2"/>
  <c r="V167" i="2"/>
  <c r="AA160" i="2"/>
  <c r="L163" i="2"/>
  <c r="L161" i="2"/>
  <c r="V163" i="2"/>
  <c r="X163" i="2" s="1"/>
  <c r="T162" i="2"/>
  <c r="T161" i="2"/>
  <c r="Z161" i="2" s="1"/>
  <c r="I552" i="18" s="1"/>
  <c r="V159" i="2"/>
  <c r="X159" i="2" s="1"/>
  <c r="T158" i="2"/>
  <c r="Z158" i="2" s="1"/>
  <c r="T157" i="2"/>
  <c r="Z157" i="2" s="1"/>
  <c r="T156" i="2"/>
  <c r="Z156" i="2" s="1"/>
  <c r="T155" i="2"/>
  <c r="I665" i="18" s="1"/>
  <c r="T153" i="2"/>
  <c r="Z153" i="2" s="1"/>
  <c r="T152" i="2"/>
  <c r="Z152" i="2" s="1"/>
  <c r="T151" i="2"/>
  <c r="T150" i="2"/>
  <c r="Z150" i="2" s="1"/>
  <c r="T149" i="2"/>
  <c r="Z149" i="2" s="1"/>
  <c r="I660" i="18" s="1"/>
  <c r="V147" i="2"/>
  <c r="L159" i="2"/>
  <c r="L158" i="2"/>
  <c r="L157" i="2"/>
  <c r="L156" i="2"/>
  <c r="L155" i="2"/>
  <c r="L153" i="2"/>
  <c r="L152" i="2"/>
  <c r="L151" i="2"/>
  <c r="L150" i="2"/>
  <c r="L149" i="2"/>
  <c r="L147" i="2"/>
  <c r="L146" i="2"/>
  <c r="L144" i="2"/>
  <c r="L143" i="2"/>
  <c r="L142" i="2"/>
  <c r="L141" i="2"/>
  <c r="J163" i="2"/>
  <c r="J161" i="2"/>
  <c r="J159" i="2"/>
  <c r="J158" i="2"/>
  <c r="J157" i="2"/>
  <c r="J156" i="2"/>
  <c r="J155" i="2"/>
  <c r="J153" i="2"/>
  <c r="J152" i="2"/>
  <c r="J151" i="2"/>
  <c r="J150" i="2"/>
  <c r="J149" i="2"/>
  <c r="J147" i="2"/>
  <c r="J146" i="2"/>
  <c r="J144" i="2"/>
  <c r="J143" i="2"/>
  <c r="J142" i="2"/>
  <c r="J141" i="2"/>
  <c r="T144" i="2"/>
  <c r="T143" i="2"/>
  <c r="T141" i="2"/>
  <c r="I654" i="18" s="1"/>
  <c r="X133" i="2"/>
  <c r="Z139" i="2"/>
  <c r="T138" i="2"/>
  <c r="Z138" i="2" s="1"/>
  <c r="T136" i="2"/>
  <c r="T135" i="2"/>
  <c r="T132" i="2"/>
  <c r="Z132" i="2" s="1"/>
  <c r="L139" i="2"/>
  <c r="L138" i="2"/>
  <c r="L137" i="2"/>
  <c r="L136" i="2"/>
  <c r="L135" i="2"/>
  <c r="L134" i="2"/>
  <c r="L133" i="2"/>
  <c r="L132" i="2"/>
  <c r="J139" i="2"/>
  <c r="J138" i="2"/>
  <c r="J137" i="2"/>
  <c r="J136" i="2"/>
  <c r="J135" i="2"/>
  <c r="J134" i="2"/>
  <c r="J133" i="2"/>
  <c r="J132" i="2"/>
  <c r="T129" i="2"/>
  <c r="Z129" i="2" s="1"/>
  <c r="T128" i="2"/>
  <c r="Z128" i="2" s="1"/>
  <c r="V127" i="2"/>
  <c r="T125" i="2"/>
  <c r="Z125" i="2" s="1"/>
  <c r="I642" i="18" s="1"/>
  <c r="V122" i="2"/>
  <c r="I70" i="8" s="1"/>
  <c r="T121" i="2"/>
  <c r="Z121" i="2" s="1"/>
  <c r="I640" i="18" s="1"/>
  <c r="L129" i="2"/>
  <c r="L128" i="2"/>
  <c r="L127" i="2"/>
  <c r="L125" i="2"/>
  <c r="L124" i="2" s="1"/>
  <c r="H71" i="8" s="1"/>
  <c r="L123" i="2"/>
  <c r="L122" i="2" s="1"/>
  <c r="H70" i="8" s="1"/>
  <c r="L121" i="2"/>
  <c r="L120" i="2" s="1"/>
  <c r="H69" i="8" s="1"/>
  <c r="J129" i="2"/>
  <c r="J128" i="2"/>
  <c r="J127" i="2"/>
  <c r="J125" i="2"/>
  <c r="J124" i="2" s="1"/>
  <c r="E71" i="8" s="1"/>
  <c r="J123" i="2"/>
  <c r="J122" i="2" s="1"/>
  <c r="E70" i="8" s="1"/>
  <c r="J120" i="2"/>
  <c r="E69" i="8" s="1"/>
  <c r="T118" i="2"/>
  <c r="V117" i="2"/>
  <c r="X117" i="2" s="1"/>
  <c r="V116" i="2"/>
  <c r="X116" i="2" s="1"/>
  <c r="T115" i="2"/>
  <c r="T114" i="2"/>
  <c r="Z114" i="2" s="1"/>
  <c r="T113" i="2"/>
  <c r="T112" i="2"/>
  <c r="T111" i="2"/>
  <c r="T110" i="2"/>
  <c r="V108" i="2"/>
  <c r="T107" i="2"/>
  <c r="Z107" i="2" s="1"/>
  <c r="T105" i="2"/>
  <c r="T104" i="2"/>
  <c r="Z104" i="2" s="1"/>
  <c r="V103" i="2"/>
  <c r="X103" i="2" s="1"/>
  <c r="L118" i="2"/>
  <c r="L117" i="2"/>
  <c r="L116" i="2"/>
  <c r="L115" i="2"/>
  <c r="L114" i="2"/>
  <c r="L108" i="2"/>
  <c r="J118" i="2"/>
  <c r="J117" i="2"/>
  <c r="J116" i="2"/>
  <c r="J115" i="2"/>
  <c r="J114" i="2"/>
  <c r="J108" i="2"/>
  <c r="L104" i="2"/>
  <c r="L103" i="2"/>
  <c r="L102" i="2"/>
  <c r="J104" i="2"/>
  <c r="J103" i="2"/>
  <c r="J102" i="2"/>
  <c r="X100" i="2"/>
  <c r="T99" i="2"/>
  <c r="Z99" i="2" s="1"/>
  <c r="T98" i="2"/>
  <c r="Z98" i="2" s="1"/>
  <c r="X96" i="2"/>
  <c r="T95" i="2"/>
  <c r="Z95" i="2" s="1"/>
  <c r="T94" i="2"/>
  <c r="Z94" i="2" s="1"/>
  <c r="T93" i="2"/>
  <c r="Z93" i="2" s="1"/>
  <c r="L99" i="2"/>
  <c r="L98" i="2"/>
  <c r="L97" i="2"/>
  <c r="L96" i="2"/>
  <c r="L95" i="2"/>
  <c r="L94" i="2"/>
  <c r="L93" i="2"/>
  <c r="J99" i="2"/>
  <c r="J98" i="2"/>
  <c r="J97" i="2"/>
  <c r="J96" i="2"/>
  <c r="J95" i="2"/>
  <c r="J94" i="2"/>
  <c r="U86" i="2"/>
  <c r="T90" i="2"/>
  <c r="Z90" i="2" s="1"/>
  <c r="T88" i="2"/>
  <c r="Z88" i="2" s="1"/>
  <c r="T87" i="2"/>
  <c r="Z87" i="2" s="1"/>
  <c r="T86" i="2"/>
  <c r="Z86" i="2" s="1"/>
  <c r="L90" i="2"/>
  <c r="L89" i="2"/>
  <c r="L88" i="2"/>
  <c r="L87" i="2"/>
  <c r="L86" i="2"/>
  <c r="J90" i="2"/>
  <c r="J89" i="2"/>
  <c r="J88" i="2"/>
  <c r="J87" i="2"/>
  <c r="J86" i="2"/>
  <c r="T84" i="2"/>
  <c r="Z84" i="2" s="1"/>
  <c r="T83" i="2"/>
  <c r="Z83" i="2" s="1"/>
  <c r="T82" i="2"/>
  <c r="Z82" i="2" s="1"/>
  <c r="T81" i="2"/>
  <c r="Z81" i="2" s="1"/>
  <c r="I548" i="18" s="1"/>
  <c r="T80" i="2"/>
  <c r="T79" i="2"/>
  <c r="Z79" i="2" s="1"/>
  <c r="T78" i="2"/>
  <c r="Z78" i="2" s="1"/>
  <c r="L84" i="2"/>
  <c r="L81" i="2"/>
  <c r="L78" i="2"/>
  <c r="J84" i="2"/>
  <c r="J81" i="2"/>
  <c r="J78" i="2"/>
  <c r="L76" i="2"/>
  <c r="L75" i="2"/>
  <c r="L74" i="2"/>
  <c r="J76" i="2"/>
  <c r="J75" i="2"/>
  <c r="J74" i="2"/>
  <c r="T76" i="2"/>
  <c r="Z76" i="2" s="1"/>
  <c r="T75" i="2"/>
  <c r="Z75" i="2" s="1"/>
  <c r="T74" i="2"/>
  <c r="Z74" i="2" s="1"/>
  <c r="T72" i="2"/>
  <c r="Z72" i="2" s="1"/>
  <c r="T71" i="2"/>
  <c r="Z71" i="2" s="1"/>
  <c r="L72" i="2"/>
  <c r="L71" i="2"/>
  <c r="L70" i="2"/>
  <c r="L69" i="2"/>
  <c r="J72" i="2"/>
  <c r="J71" i="2"/>
  <c r="J70" i="2"/>
  <c r="J69" i="2"/>
  <c r="T67" i="2"/>
  <c r="T66" i="2"/>
  <c r="Z66" i="2" s="1"/>
  <c r="T65" i="2"/>
  <c r="T64" i="2"/>
  <c r="Z64" i="2" s="1"/>
  <c r="T63" i="2"/>
  <c r="Z63" i="2" s="1"/>
  <c r="V62" i="2"/>
  <c r="X62" i="2" s="1"/>
  <c r="V61" i="2"/>
  <c r="T59" i="2"/>
  <c r="Z59" i="2" s="1"/>
  <c r="T58" i="2"/>
  <c r="Z58" i="2" s="1"/>
  <c r="T57" i="2"/>
  <c r="Z57" i="2" s="1"/>
  <c r="L67" i="2"/>
  <c r="L66" i="2"/>
  <c r="L65" i="2"/>
  <c r="L64" i="2"/>
  <c r="L63" i="2"/>
  <c r="L62" i="2"/>
  <c r="L61" i="2"/>
  <c r="J67" i="2"/>
  <c r="J66" i="2"/>
  <c r="J65" i="2"/>
  <c r="J64" i="2"/>
  <c r="J63" i="2"/>
  <c r="J62" i="2"/>
  <c r="J61" i="2"/>
  <c r="L59" i="2"/>
  <c r="L58" i="2"/>
  <c r="L57" i="2"/>
  <c r="J59" i="2"/>
  <c r="J58" i="2"/>
  <c r="J57" i="2"/>
  <c r="V55" i="2"/>
  <c r="X55" i="2" s="1"/>
  <c r="T54" i="2"/>
  <c r="Z54" i="2" s="1"/>
  <c r="T53" i="2"/>
  <c r="Z53" i="2" s="1"/>
  <c r="L55" i="2"/>
  <c r="L54" i="2"/>
  <c r="L53" i="2"/>
  <c r="J55" i="2"/>
  <c r="J54" i="2"/>
  <c r="J53" i="2"/>
  <c r="T51" i="2"/>
  <c r="Z51" i="2" s="1"/>
  <c r="T50" i="2"/>
  <c r="Z50" i="2" s="1"/>
  <c r="I543" i="18" s="1"/>
  <c r="U48" i="2"/>
  <c r="X51" i="2"/>
  <c r="J50" i="2"/>
  <c r="L50" i="2"/>
  <c r="L51" i="2"/>
  <c r="J51" i="2"/>
  <c r="T47" i="2"/>
  <c r="Z47" i="2" s="1"/>
  <c r="T46" i="2"/>
  <c r="Z46" i="2" s="1"/>
  <c r="T45" i="2"/>
  <c r="Z45" i="2" s="1"/>
  <c r="T42" i="2"/>
  <c r="T41" i="2"/>
  <c r="Z41" i="2" s="1"/>
  <c r="T40" i="2"/>
  <c r="T37" i="2"/>
  <c r="T36" i="2"/>
  <c r="T35" i="2"/>
  <c r="L48" i="2"/>
  <c r="L47" i="2"/>
  <c r="L46" i="2"/>
  <c r="L45" i="2"/>
  <c r="L44" i="2"/>
  <c r="J48" i="2"/>
  <c r="J47" i="2"/>
  <c r="J46" i="2"/>
  <c r="J45" i="2"/>
  <c r="J44" i="2"/>
  <c r="X42" i="2"/>
  <c r="Z77" i="2" l="1"/>
  <c r="K150" i="8"/>
  <c r="E97" i="13" s="1"/>
  <c r="Z97" i="4"/>
  <c r="Z187" i="2"/>
  <c r="K87" i="8" s="1"/>
  <c r="E99" i="10" s="1"/>
  <c r="I689" i="18"/>
  <c r="Z170" i="2"/>
  <c r="K82" i="8" s="1"/>
  <c r="E94" i="10" s="1"/>
  <c r="AB171" i="2"/>
  <c r="AB170" i="2" s="1"/>
  <c r="M82" i="8" s="1"/>
  <c r="D94" i="10" s="1"/>
  <c r="K62" i="8"/>
  <c r="E52" i="10" s="1"/>
  <c r="X108" i="2"/>
  <c r="T133" i="2"/>
  <c r="Z133" i="2"/>
  <c r="AB133" i="2" s="1"/>
  <c r="I200" i="8"/>
  <c r="I199" i="8" s="1"/>
  <c r="D63" i="17" s="1"/>
  <c r="V4" i="6"/>
  <c r="AB121" i="4"/>
  <c r="M152" i="8" s="1"/>
  <c r="D99" i="13" s="1"/>
  <c r="I154" i="8"/>
  <c r="I153" i="8" s="1"/>
  <c r="D127" i="13" s="1"/>
  <c r="V135" i="4"/>
  <c r="T137" i="2"/>
  <c r="Z137" i="2"/>
  <c r="Z14" i="3"/>
  <c r="I204" i="18" s="1"/>
  <c r="AB47" i="3"/>
  <c r="AB29" i="3"/>
  <c r="Z28" i="3"/>
  <c r="K100" i="8" s="1"/>
  <c r="E42" i="12" s="1"/>
  <c r="V40" i="3"/>
  <c r="K192" i="8"/>
  <c r="E96" i="15" s="1"/>
  <c r="AB179" i="2"/>
  <c r="Z166" i="2"/>
  <c r="I670" i="18" s="1"/>
  <c r="AB36" i="5"/>
  <c r="M172" i="8" s="1"/>
  <c r="D62" i="15" s="1"/>
  <c r="E166" i="8"/>
  <c r="I690" i="18"/>
  <c r="Z193" i="2"/>
  <c r="AB7" i="5"/>
  <c r="AB5" i="5" s="1"/>
  <c r="AB4" i="5" s="1"/>
  <c r="M162" i="8" s="1"/>
  <c r="O6" i="15" s="1"/>
  <c r="D46" i="15" s="1"/>
  <c r="X18" i="5"/>
  <c r="X17" i="5" s="1"/>
  <c r="H17" i="5" s="1"/>
  <c r="Z5" i="5"/>
  <c r="K163" i="8" s="1"/>
  <c r="I148" i="8"/>
  <c r="I147" i="8" s="1"/>
  <c r="D126" i="13" s="1"/>
  <c r="V97" i="4"/>
  <c r="V17" i="5"/>
  <c r="AB205" i="2"/>
  <c r="Z70" i="2"/>
  <c r="I652" i="18"/>
  <c r="AB138" i="2"/>
  <c r="AB22" i="6"/>
  <c r="M202" i="8" s="1"/>
  <c r="D44" i="17" s="1"/>
  <c r="AB47" i="6"/>
  <c r="M206" i="8" s="1"/>
  <c r="D55" i="17" s="1"/>
  <c r="M204" i="8"/>
  <c r="D53" i="17" s="1"/>
  <c r="K185" i="8"/>
  <c r="E87" i="15" s="1"/>
  <c r="T69" i="2"/>
  <c r="Z69" i="2" s="1"/>
  <c r="AB126" i="3"/>
  <c r="AB125" i="3" s="1"/>
  <c r="I268" i="18"/>
  <c r="T146" i="2"/>
  <c r="Z146" i="2" s="1"/>
  <c r="X146" i="2"/>
  <c r="X139" i="2"/>
  <c r="T134" i="2"/>
  <c r="Z134" i="2" s="1"/>
  <c r="V134" i="2"/>
  <c r="X134" i="2" s="1"/>
  <c r="V137" i="2"/>
  <c r="X137" i="2" s="1"/>
  <c r="T142" i="2"/>
  <c r="Z142" i="2" s="1"/>
  <c r="Z140" i="2" s="1"/>
  <c r="K75" i="8" s="1"/>
  <c r="E83" i="10" s="1"/>
  <c r="X142" i="2"/>
  <c r="T102" i="2"/>
  <c r="Z102" i="2" s="1"/>
  <c r="I134" i="18"/>
  <c r="Z33" i="4"/>
  <c r="K129" i="8" s="1"/>
  <c r="E56" i="13" s="1"/>
  <c r="I213" i="18"/>
  <c r="AB27" i="3"/>
  <c r="AB24" i="3" s="1"/>
  <c r="M99" i="8" s="1"/>
  <c r="D41" i="12" s="1"/>
  <c r="AB16" i="3"/>
  <c r="M97" i="8" s="1"/>
  <c r="D39" i="12" s="1"/>
  <c r="Z24" i="3"/>
  <c r="AB34" i="3"/>
  <c r="M102" i="8" s="1"/>
  <c r="D46" i="12" s="1"/>
  <c r="T97" i="2"/>
  <c r="Z97" i="2" s="1"/>
  <c r="I620" i="18" s="1"/>
  <c r="T48" i="2"/>
  <c r="Z48" i="2" s="1"/>
  <c r="AB48" i="2" s="1"/>
  <c r="V48" i="2"/>
  <c r="X48" i="2" s="1"/>
  <c r="Z167" i="4"/>
  <c r="J33" i="3"/>
  <c r="Z46" i="3"/>
  <c r="I682" i="18"/>
  <c r="I628" i="18"/>
  <c r="I646" i="18"/>
  <c r="AB46" i="2"/>
  <c r="I588" i="18"/>
  <c r="AB51" i="2"/>
  <c r="I544" i="18"/>
  <c r="I644" i="18"/>
  <c r="AB128" i="2"/>
  <c r="AB79" i="2"/>
  <c r="I546" i="18"/>
  <c r="AB58" i="2"/>
  <c r="I595" i="18"/>
  <c r="AB82" i="2"/>
  <c r="I549" i="18"/>
  <c r="AB83" i="2"/>
  <c r="I550" i="18"/>
  <c r="AB59" i="3"/>
  <c r="M108" i="8" s="1"/>
  <c r="D57" i="12" s="1"/>
  <c r="Z54" i="3"/>
  <c r="K107" i="8" s="1"/>
  <c r="E55" i="12" s="1"/>
  <c r="AB56" i="3"/>
  <c r="AB54" i="3" s="1"/>
  <c r="M107" i="8" s="1"/>
  <c r="D55" i="12" s="1"/>
  <c r="AB91" i="3"/>
  <c r="M114" i="8" s="1"/>
  <c r="D65" i="12" s="1"/>
  <c r="I214" i="18"/>
  <c r="AB32" i="3"/>
  <c r="I217" i="18"/>
  <c r="I215" i="18"/>
  <c r="Z5" i="3"/>
  <c r="I197" i="18"/>
  <c r="AB107" i="3"/>
  <c r="M118" i="8" s="1"/>
  <c r="V28" i="3"/>
  <c r="I100" i="8" s="1"/>
  <c r="AB50" i="3"/>
  <c r="AB130" i="3"/>
  <c r="AB129" i="3" s="1"/>
  <c r="M122" i="8" s="1"/>
  <c r="I271" i="18"/>
  <c r="AB48" i="5"/>
  <c r="M175" i="8" s="1"/>
  <c r="O8" i="15" s="1"/>
  <c r="D68" i="15" s="1"/>
  <c r="AB85" i="5"/>
  <c r="M186" i="8" s="1"/>
  <c r="D88" i="15" s="1"/>
  <c r="X105" i="5"/>
  <c r="X77" i="5" s="1"/>
  <c r="H77" i="5" s="1"/>
  <c r="AB66" i="3"/>
  <c r="I176" i="18"/>
  <c r="AB90" i="2"/>
  <c r="I615" i="18"/>
  <c r="AB88" i="2"/>
  <c r="I613" i="18"/>
  <c r="AB87" i="2"/>
  <c r="I612" i="18"/>
  <c r="AB86" i="2"/>
  <c r="I611" i="18"/>
  <c r="AB114" i="2"/>
  <c r="I635" i="18"/>
  <c r="AB104" i="2"/>
  <c r="I626" i="18"/>
  <c r="AB99" i="2"/>
  <c r="I622" i="18"/>
  <c r="AB98" i="2"/>
  <c r="I621" i="18"/>
  <c r="AB95" i="2"/>
  <c r="I618" i="18"/>
  <c r="AB94" i="2"/>
  <c r="I617" i="18"/>
  <c r="AB31" i="3"/>
  <c r="I216" i="18"/>
  <c r="AB10" i="3"/>
  <c r="I201" i="18"/>
  <c r="AB9" i="3"/>
  <c r="I200" i="18"/>
  <c r="AB8" i="3"/>
  <c r="I199" i="18"/>
  <c r="AB76" i="2"/>
  <c r="I610" i="18"/>
  <c r="AB75" i="2"/>
  <c r="I609" i="18"/>
  <c r="AB74" i="2"/>
  <c r="I608" i="18"/>
  <c r="AB72" i="2"/>
  <c r="I607" i="18"/>
  <c r="AB71" i="2"/>
  <c r="I606" i="18"/>
  <c r="AB64" i="2"/>
  <c r="I600" i="18"/>
  <c r="AB63" i="2"/>
  <c r="I599" i="18"/>
  <c r="AB66" i="2"/>
  <c r="I602" i="18"/>
  <c r="AB59" i="2"/>
  <c r="I596" i="18"/>
  <c r="AB57" i="2"/>
  <c r="I594" i="18"/>
  <c r="AB53" i="2"/>
  <c r="I591" i="18"/>
  <c r="AB54" i="2"/>
  <c r="I592" i="18"/>
  <c r="AB47" i="2"/>
  <c r="I589" i="18"/>
  <c r="AB45" i="2"/>
  <c r="I587" i="18"/>
  <c r="AB41" i="2"/>
  <c r="I584" i="18"/>
  <c r="AB40" i="2"/>
  <c r="I583" i="18"/>
  <c r="AB158" i="2"/>
  <c r="I668" i="18"/>
  <c r="AB157" i="2"/>
  <c r="I667" i="18"/>
  <c r="AB156" i="2"/>
  <c r="I666" i="18"/>
  <c r="AB153" i="2"/>
  <c r="I664" i="18"/>
  <c r="AB152" i="2"/>
  <c r="I663" i="18"/>
  <c r="AB151" i="2"/>
  <c r="I662" i="18"/>
  <c r="AB150" i="2"/>
  <c r="I661" i="18"/>
  <c r="AB144" i="2"/>
  <c r="I657" i="18"/>
  <c r="AB143" i="2"/>
  <c r="I656" i="18"/>
  <c r="AB136" i="2"/>
  <c r="I650" i="18"/>
  <c r="AB135" i="2"/>
  <c r="I649" i="18"/>
  <c r="M160" i="8"/>
  <c r="AB84" i="2"/>
  <c r="I551" i="18"/>
  <c r="AB78" i="2"/>
  <c r="I545" i="18"/>
  <c r="AB5" i="4"/>
  <c r="AB4" i="4" s="1"/>
  <c r="H101" i="8"/>
  <c r="AB64" i="4"/>
  <c r="M138" i="8" s="1"/>
  <c r="D73" i="13" s="1"/>
  <c r="AB45" i="6"/>
  <c r="AB40" i="6" s="1"/>
  <c r="Z40" i="6"/>
  <c r="K205" i="8" s="1"/>
  <c r="E54" i="17" s="1"/>
  <c r="Z82" i="4"/>
  <c r="AB83" i="4"/>
  <c r="M144" i="8" s="1"/>
  <c r="D84" i="13" s="1"/>
  <c r="Z140" i="4"/>
  <c r="I93" i="18"/>
  <c r="K115" i="8"/>
  <c r="E66" i="12" s="1"/>
  <c r="AB83" i="3"/>
  <c r="AB73" i="3" s="1"/>
  <c r="I190" i="18"/>
  <c r="AB71" i="3"/>
  <c r="AB68" i="3" s="1"/>
  <c r="M111" i="8" s="1"/>
  <c r="I179" i="18"/>
  <c r="AB129" i="2"/>
  <c r="I645" i="18"/>
  <c r="K206" i="8"/>
  <c r="E55" i="17" s="1"/>
  <c r="AB101" i="3"/>
  <c r="M117" i="8" s="1"/>
  <c r="D70" i="12" s="1"/>
  <c r="AB204" i="2"/>
  <c r="I698" i="18"/>
  <c r="AB202" i="2"/>
  <c r="I697" i="18"/>
  <c r="AB201" i="2"/>
  <c r="I696" i="18"/>
  <c r="J145" i="2"/>
  <c r="E76" i="8" s="1"/>
  <c r="M200" i="8"/>
  <c r="D43" i="17" s="1"/>
  <c r="AB57" i="5"/>
  <c r="M178" i="8" s="1"/>
  <c r="O9" i="15" s="1"/>
  <c r="D74" i="15" s="1"/>
  <c r="M167" i="8"/>
  <c r="D57" i="15" s="1"/>
  <c r="K176" i="8"/>
  <c r="K175" i="8" s="1"/>
  <c r="Z48" i="5"/>
  <c r="M192" i="8"/>
  <c r="D96" i="15" s="1"/>
  <c r="AB78" i="5"/>
  <c r="M177" i="8"/>
  <c r="D70" i="15" s="1"/>
  <c r="Y4" i="4"/>
  <c r="M148" i="8"/>
  <c r="AB33" i="4"/>
  <c r="M129" i="8" s="1"/>
  <c r="D56" i="13" s="1"/>
  <c r="K154" i="8"/>
  <c r="E105" i="13" s="1"/>
  <c r="AB136" i="4"/>
  <c r="AB91" i="4"/>
  <c r="Z64" i="3"/>
  <c r="K109" i="8" s="1"/>
  <c r="E56" i="12" s="1"/>
  <c r="X31" i="3"/>
  <c r="X28" i="3" s="1"/>
  <c r="AB65" i="3"/>
  <c r="AB40" i="3"/>
  <c r="M103" i="8" s="1"/>
  <c r="D47" i="12" s="1"/>
  <c r="AB43" i="3"/>
  <c r="M104" i="8" s="1"/>
  <c r="D48" i="12" s="1"/>
  <c r="AB86" i="3"/>
  <c r="M113" i="8" s="1"/>
  <c r="D62" i="12" s="1"/>
  <c r="K97" i="8"/>
  <c r="E39" i="12" s="1"/>
  <c r="AB96" i="3"/>
  <c r="M115" i="8" s="1"/>
  <c r="D66" i="12" s="1"/>
  <c r="AB117" i="3"/>
  <c r="K102" i="8"/>
  <c r="E46" i="12" s="1"/>
  <c r="Z33" i="3"/>
  <c r="AB184" i="2"/>
  <c r="M86" i="8" s="1"/>
  <c r="D98" i="10" s="1"/>
  <c r="AB187" i="2"/>
  <c r="M87" i="8" s="1"/>
  <c r="D99" i="10" s="1"/>
  <c r="AB107" i="2"/>
  <c r="AB173" i="2"/>
  <c r="M83" i="8" s="1"/>
  <c r="D95" i="10" s="1"/>
  <c r="J3" i="6"/>
  <c r="E198" i="8" s="1"/>
  <c r="E9" i="7" s="1"/>
  <c r="X4" i="5"/>
  <c r="H4" i="5" s="1"/>
  <c r="K152" i="8"/>
  <c r="E99" i="13" s="1"/>
  <c r="I203" i="8"/>
  <c r="D64" i="17" s="1"/>
  <c r="I162" i="8"/>
  <c r="D110" i="15" s="1"/>
  <c r="I166" i="8"/>
  <c r="D111" i="15" s="1"/>
  <c r="I191" i="8"/>
  <c r="D115" i="15" s="1"/>
  <c r="X4" i="4"/>
  <c r="H4" i="4" s="1"/>
  <c r="J56" i="2"/>
  <c r="E58" i="8" s="1"/>
  <c r="J101" i="2"/>
  <c r="E66" i="8" s="1"/>
  <c r="X57" i="2"/>
  <c r="J73" i="2"/>
  <c r="E61" i="8" s="1"/>
  <c r="V203" i="2"/>
  <c r="I91" i="8" s="1"/>
  <c r="V88" i="2"/>
  <c r="X88" i="2" s="1"/>
  <c r="V161" i="2"/>
  <c r="X161" i="2" s="1"/>
  <c r="X160" i="2" s="1"/>
  <c r="L145" i="2"/>
  <c r="H76" i="8" s="1"/>
  <c r="J140" i="2"/>
  <c r="E75" i="8" s="1"/>
  <c r="Z203" i="2"/>
  <c r="K91" i="8" s="1"/>
  <c r="E106" i="10" s="1"/>
  <c r="AA4" i="4"/>
  <c r="AA100" i="4"/>
  <c r="AA97" i="4" s="1"/>
  <c r="I124" i="8"/>
  <c r="D121" i="13" s="1"/>
  <c r="E147" i="8"/>
  <c r="Y82" i="4"/>
  <c r="V184" i="2"/>
  <c r="I86" i="8" s="1"/>
  <c r="X98" i="2"/>
  <c r="X136" i="2"/>
  <c r="X193" i="2"/>
  <c r="X198" i="2"/>
  <c r="V69" i="2"/>
  <c r="X69" i="2" s="1"/>
  <c r="V84" i="2"/>
  <c r="X84" i="2" s="1"/>
  <c r="J126" i="2"/>
  <c r="E72" i="8" s="1"/>
  <c r="E68" i="8" s="1"/>
  <c r="X135" i="2"/>
  <c r="V158" i="2"/>
  <c r="X158" i="2" s="1"/>
  <c r="V193" i="2"/>
  <c r="I89" i="8" s="1"/>
  <c r="V182" i="2"/>
  <c r="I85" i="8" s="1"/>
  <c r="X96" i="3"/>
  <c r="V5" i="3"/>
  <c r="I94" i="8" s="1"/>
  <c r="X147" i="2"/>
  <c r="V152" i="2"/>
  <c r="X152" i="2" s="1"/>
  <c r="D69" i="15"/>
  <c r="AB81" i="2"/>
  <c r="L43" i="2"/>
  <c r="H55" i="8" s="1"/>
  <c r="Z49" i="2"/>
  <c r="K56" i="8" s="1"/>
  <c r="E46" i="10" s="1"/>
  <c r="AB50" i="2"/>
  <c r="X53" i="2"/>
  <c r="Z118" i="2"/>
  <c r="V138" i="2"/>
  <c r="X138" i="2" s="1"/>
  <c r="T147" i="2"/>
  <c r="Z147" i="2" s="1"/>
  <c r="V82" i="4"/>
  <c r="I146" i="8"/>
  <c r="I143" i="8" s="1"/>
  <c r="D125" i="13" s="1"/>
  <c r="Y135" i="4"/>
  <c r="Y97" i="4"/>
  <c r="AB194" i="2"/>
  <c r="AB193" i="2" s="1"/>
  <c r="I130" i="8"/>
  <c r="D123" i="13" s="1"/>
  <c r="V4" i="5"/>
  <c r="V78" i="2"/>
  <c r="X78" i="2" s="1"/>
  <c r="I127" i="8"/>
  <c r="D122" i="13" s="1"/>
  <c r="D75" i="15"/>
  <c r="V34" i="3"/>
  <c r="I102" i="8" s="1"/>
  <c r="I184" i="8"/>
  <c r="D114" i="15" s="1"/>
  <c r="AB89" i="2"/>
  <c r="T89" i="2"/>
  <c r="E75" i="15"/>
  <c r="I136" i="8"/>
  <c r="D124" i="13" s="1"/>
  <c r="V30" i="6"/>
  <c r="D96" i="13"/>
  <c r="I178" i="8"/>
  <c r="D113" i="15" s="1"/>
  <c r="D59" i="15"/>
  <c r="I109" i="8"/>
  <c r="V54" i="3"/>
  <c r="I107" i="8" s="1"/>
  <c r="X57" i="5"/>
  <c r="H57" i="5" s="1"/>
  <c r="D47" i="15"/>
  <c r="V24" i="3"/>
  <c r="I99" i="8" s="1"/>
  <c r="Y26" i="4"/>
  <c r="X135" i="4"/>
  <c r="H135" i="4" s="1"/>
  <c r="AB142" i="4"/>
  <c r="AB140" i="4" s="1"/>
  <c r="AA135" i="4"/>
  <c r="X97" i="4"/>
  <c r="H97" i="4" s="1"/>
  <c r="AA82" i="4"/>
  <c r="E110" i="8"/>
  <c r="J77" i="2"/>
  <c r="E62" i="8" s="1"/>
  <c r="Z129" i="3"/>
  <c r="Z124" i="3" s="1"/>
  <c r="V96" i="3"/>
  <c r="I115" i="8" s="1"/>
  <c r="Z73" i="3"/>
  <c r="K112" i="8" s="1"/>
  <c r="E64" i="12" s="1"/>
  <c r="L67" i="3"/>
  <c r="X55" i="3"/>
  <c r="X54" i="3" s="1"/>
  <c r="X22" i="3"/>
  <c r="X21" i="3" s="1"/>
  <c r="H96" i="8"/>
  <c r="V107" i="3"/>
  <c r="I118" i="8" s="1"/>
  <c r="E96" i="8"/>
  <c r="Z23" i="3"/>
  <c r="J15" i="3"/>
  <c r="X126" i="3"/>
  <c r="X125" i="3" s="1"/>
  <c r="V125" i="3"/>
  <c r="I121" i="8" s="1"/>
  <c r="H111" i="8"/>
  <c r="H110" i="8" s="1"/>
  <c r="H93" i="8"/>
  <c r="J124" i="3"/>
  <c r="X64" i="3"/>
  <c r="H105" i="8"/>
  <c r="H116" i="8"/>
  <c r="X101" i="3"/>
  <c r="X24" i="3"/>
  <c r="V187" i="2"/>
  <c r="I87" i="8" s="1"/>
  <c r="X188" i="2"/>
  <c r="X187" i="2" s="1"/>
  <c r="X185" i="2"/>
  <c r="X184" i="2" s="1"/>
  <c r="X177" i="2"/>
  <c r="X176" i="2" s="1"/>
  <c r="V176" i="2"/>
  <c r="I84" i="8" s="1"/>
  <c r="X174" i="2"/>
  <c r="X173" i="2" s="1"/>
  <c r="V173" i="2"/>
  <c r="I83" i="8" s="1"/>
  <c r="X171" i="2"/>
  <c r="X170" i="2" s="1"/>
  <c r="V170" i="2"/>
  <c r="I82" i="8" s="1"/>
  <c r="X167" i="2"/>
  <c r="X165" i="2" s="1"/>
  <c r="V165" i="2"/>
  <c r="L3" i="6"/>
  <c r="X127" i="2"/>
  <c r="Z124" i="2"/>
  <c r="K71" i="8" s="1"/>
  <c r="E75" i="10" s="1"/>
  <c r="AB125" i="2"/>
  <c r="Z120" i="2"/>
  <c r="AB121" i="2"/>
  <c r="AB120" i="2" s="1"/>
  <c r="T163" i="2"/>
  <c r="Z163" i="2" s="1"/>
  <c r="AB161" i="2"/>
  <c r="J160" i="2"/>
  <c r="E79" i="8" s="1"/>
  <c r="L160" i="2"/>
  <c r="H79" i="8" s="1"/>
  <c r="V90" i="2"/>
  <c r="X90" i="2" s="1"/>
  <c r="J85" i="2"/>
  <c r="E63" i="8" s="1"/>
  <c r="V89" i="2"/>
  <c r="X89" i="2" s="1"/>
  <c r="L85" i="2"/>
  <c r="H63" i="8" s="1"/>
  <c r="X132" i="3"/>
  <c r="X129" i="3" s="1"/>
  <c r="V129" i="3"/>
  <c r="I122" i="8" s="1"/>
  <c r="K121" i="8"/>
  <c r="E79" i="12" s="1"/>
  <c r="Z115" i="2"/>
  <c r="J106" i="2"/>
  <c r="E67" i="8" s="1"/>
  <c r="L106" i="2"/>
  <c r="H67" i="8" s="1"/>
  <c r="L101" i="2"/>
  <c r="H66" i="8" s="1"/>
  <c r="I616" i="18"/>
  <c r="V93" i="2"/>
  <c r="X93" i="2" s="1"/>
  <c r="J67" i="3"/>
  <c r="V73" i="3"/>
  <c r="I112" i="8" s="1"/>
  <c r="X68" i="3"/>
  <c r="V68" i="3"/>
  <c r="I111" i="8" s="1"/>
  <c r="V57" i="5"/>
  <c r="T159" i="2"/>
  <c r="V157" i="2"/>
  <c r="X157" i="2" s="1"/>
  <c r="L154" i="2"/>
  <c r="H78" i="8" s="1"/>
  <c r="V156" i="2"/>
  <c r="X156" i="2" s="1"/>
  <c r="J154" i="2"/>
  <c r="E78" i="8" s="1"/>
  <c r="AB155" i="2"/>
  <c r="V153" i="2"/>
  <c r="X153" i="2" s="1"/>
  <c r="L148" i="2"/>
  <c r="H77" i="8" s="1"/>
  <c r="J148" i="2"/>
  <c r="E77" i="8" s="1"/>
  <c r="AB149" i="2"/>
  <c r="Z148" i="2"/>
  <c r="K77" i="8" s="1"/>
  <c r="E85" i="10" s="1"/>
  <c r="X149" i="2"/>
  <c r="V150" i="2"/>
  <c r="X150" i="2" s="1"/>
  <c r="X151" i="2"/>
  <c r="X144" i="2"/>
  <c r="X143" i="2"/>
  <c r="L140" i="2"/>
  <c r="H75" i="8" s="1"/>
  <c r="AB141" i="2"/>
  <c r="X141" i="2"/>
  <c r="J131" i="2"/>
  <c r="L131" i="2"/>
  <c r="H74" i="8" s="1"/>
  <c r="AB132" i="2"/>
  <c r="V91" i="3"/>
  <c r="I114" i="8" s="1"/>
  <c r="X92" i="3"/>
  <c r="X91" i="3" s="1"/>
  <c r="K117" i="8"/>
  <c r="X107" i="3"/>
  <c r="E94" i="8"/>
  <c r="E93" i="8" s="1"/>
  <c r="J4" i="3"/>
  <c r="V86" i="3"/>
  <c r="I113" i="8" s="1"/>
  <c r="X87" i="3"/>
  <c r="X86" i="3" s="1"/>
  <c r="X73" i="3"/>
  <c r="Z11" i="3"/>
  <c r="K95" i="8" s="1"/>
  <c r="E35" i="12" s="1"/>
  <c r="AB6" i="3"/>
  <c r="V43" i="3"/>
  <c r="X41" i="3"/>
  <c r="X40" i="3" s="1"/>
  <c r="V77" i="5"/>
  <c r="X118" i="3"/>
  <c r="X117" i="3" s="1"/>
  <c r="V117" i="3"/>
  <c r="I119" i="8" s="1"/>
  <c r="E116" i="8"/>
  <c r="V101" i="3"/>
  <c r="I117" i="8" s="1"/>
  <c r="L100" i="3"/>
  <c r="J100" i="3"/>
  <c r="L45" i="3"/>
  <c r="X60" i="3"/>
  <c r="X59" i="3" s="1"/>
  <c r="V59" i="3"/>
  <c r="I108" i="8" s="1"/>
  <c r="V198" i="2"/>
  <c r="I90" i="8" s="1"/>
  <c r="X30" i="6"/>
  <c r="H30" i="6" s="1"/>
  <c r="X4" i="6"/>
  <c r="H4" i="6" s="1"/>
  <c r="Z73" i="2"/>
  <c r="K61" i="8" s="1"/>
  <c r="E51" i="10" s="1"/>
  <c r="V75" i="2"/>
  <c r="X75" i="2" s="1"/>
  <c r="L73" i="2"/>
  <c r="H61" i="8" s="1"/>
  <c r="V71" i="2"/>
  <c r="X71" i="2" s="1"/>
  <c r="V72" i="2"/>
  <c r="X72" i="2" s="1"/>
  <c r="X70" i="2"/>
  <c r="J68" i="2"/>
  <c r="E60" i="8" s="1"/>
  <c r="L68" i="2"/>
  <c r="H60" i="8" s="1"/>
  <c r="V65" i="2"/>
  <c r="X65" i="2" s="1"/>
  <c r="X64" i="2"/>
  <c r="J60" i="2"/>
  <c r="E59" i="8" s="1"/>
  <c r="L60" i="2"/>
  <c r="H59" i="8" s="1"/>
  <c r="L56" i="2"/>
  <c r="H58" i="8" s="1"/>
  <c r="L52" i="2"/>
  <c r="H57" i="8" s="1"/>
  <c r="L49" i="2"/>
  <c r="H56" i="8" s="1"/>
  <c r="V49" i="2"/>
  <c r="I56" i="8" s="1"/>
  <c r="V45" i="2"/>
  <c r="X45" i="2" s="1"/>
  <c r="X26" i="4"/>
  <c r="H26" i="4" s="1"/>
  <c r="V26" i="4"/>
  <c r="L126" i="2"/>
  <c r="H72" i="8" s="1"/>
  <c r="H68" i="8" s="1"/>
  <c r="J45" i="3"/>
  <c r="E105" i="8"/>
  <c r="X47" i="3"/>
  <c r="X46" i="3" s="1"/>
  <c r="V46" i="3"/>
  <c r="I106" i="8" s="1"/>
  <c r="X34" i="3"/>
  <c r="L33" i="3"/>
  <c r="E102" i="8"/>
  <c r="E101" i="8" s="1"/>
  <c r="L15" i="3"/>
  <c r="X17" i="3"/>
  <c r="X16" i="3" s="1"/>
  <c r="V16" i="3"/>
  <c r="I97" i="8" s="1"/>
  <c r="L4" i="3"/>
  <c r="X5" i="3"/>
  <c r="V109" i="5"/>
  <c r="X109" i="5"/>
  <c r="H109" i="5" s="1"/>
  <c r="X48" i="5"/>
  <c r="H48" i="5" s="1"/>
  <c r="V48" i="5"/>
  <c r="K144" i="8"/>
  <c r="V60" i="4"/>
  <c r="X60" i="4"/>
  <c r="H60" i="4" s="1"/>
  <c r="V37" i="4"/>
  <c r="X37" i="4"/>
  <c r="H37" i="4" s="1"/>
  <c r="V4" i="4"/>
  <c r="L124" i="3"/>
  <c r="X82" i="4"/>
  <c r="H82" i="4" s="1"/>
  <c r="X12" i="3"/>
  <c r="X11" i="3" s="1"/>
  <c r="V11" i="3"/>
  <c r="I95" i="8" s="1"/>
  <c r="Z85" i="2"/>
  <c r="X99" i="2"/>
  <c r="X58" i="2"/>
  <c r="X46" i="2"/>
  <c r="X123" i="2"/>
  <c r="X122" i="2" s="1"/>
  <c r="J43" i="2"/>
  <c r="E55" i="8" s="1"/>
  <c r="V47" i="2"/>
  <c r="X47" i="2" s="1"/>
  <c r="J49" i="2"/>
  <c r="E56" i="8" s="1"/>
  <c r="J52" i="2"/>
  <c r="E57" i="8" s="1"/>
  <c r="V66" i="2"/>
  <c r="X66" i="2" s="1"/>
  <c r="V74" i="2"/>
  <c r="T96" i="2"/>
  <c r="Z96" i="2" s="1"/>
  <c r="V54" i="2"/>
  <c r="X54" i="2" s="1"/>
  <c r="V94" i="2"/>
  <c r="X94" i="2" s="1"/>
  <c r="L77" i="2"/>
  <c r="H62" i="8" s="1"/>
  <c r="V86" i="2"/>
  <c r="X114" i="2"/>
  <c r="V129" i="2"/>
  <c r="X129" i="2" s="1"/>
  <c r="V125" i="2"/>
  <c r="V67" i="2"/>
  <c r="X67" i="2" s="1"/>
  <c r="V76" i="2"/>
  <c r="X76" i="2" s="1"/>
  <c r="V81" i="2"/>
  <c r="X81" i="2" s="1"/>
  <c r="V87" i="2"/>
  <c r="X87" i="2" s="1"/>
  <c r="V97" i="2"/>
  <c r="X97" i="2" s="1"/>
  <c r="V118" i="2"/>
  <c r="X118" i="2" s="1"/>
  <c r="V128" i="2"/>
  <c r="X128" i="2" s="1"/>
  <c r="T127" i="2"/>
  <c r="Z127" i="2" s="1"/>
  <c r="T123" i="2"/>
  <c r="Z123" i="2" s="1"/>
  <c r="I641" i="18" s="1"/>
  <c r="V115" i="2"/>
  <c r="X115" i="2" s="1"/>
  <c r="T109" i="2"/>
  <c r="T117" i="2"/>
  <c r="T108" i="2"/>
  <c r="Z108" i="2" s="1"/>
  <c r="T116" i="2"/>
  <c r="T103" i="2"/>
  <c r="Z103" i="2" s="1"/>
  <c r="I625" i="18" s="1"/>
  <c r="V104" i="2"/>
  <c r="X104" i="2" s="1"/>
  <c r="X61" i="2"/>
  <c r="T61" i="2"/>
  <c r="Z61" i="2" s="1"/>
  <c r="Z60" i="2" s="1"/>
  <c r="T62" i="2"/>
  <c r="Z62" i="2" s="1"/>
  <c r="X63" i="2"/>
  <c r="Z56" i="2"/>
  <c r="K58" i="8" s="1"/>
  <c r="E48" i="10" s="1"/>
  <c r="X59" i="2"/>
  <c r="T55" i="2"/>
  <c r="Z55" i="2" s="1"/>
  <c r="I593" i="18" s="1"/>
  <c r="X44" i="2"/>
  <c r="T44" i="2"/>
  <c r="Z44" i="2" s="1"/>
  <c r="I586" i="18" s="1"/>
  <c r="Z39" i="2"/>
  <c r="K54" i="8" s="1"/>
  <c r="E44" i="10" s="1"/>
  <c r="V41" i="2"/>
  <c r="X41" i="2" s="1"/>
  <c r="X50" i="2"/>
  <c r="X49" i="2" s="1"/>
  <c r="AA49" i="2"/>
  <c r="L42" i="2"/>
  <c r="L41" i="2"/>
  <c r="L40" i="2"/>
  <c r="J42" i="2"/>
  <c r="J41" i="2"/>
  <c r="J40" i="2"/>
  <c r="K40" i="2"/>
  <c r="K41" i="2"/>
  <c r="K42" i="2"/>
  <c r="Z38" i="2"/>
  <c r="Z37" i="2"/>
  <c r="X38" i="2"/>
  <c r="V37" i="2"/>
  <c r="X37" i="2" s="1"/>
  <c r="X36" i="2"/>
  <c r="L38" i="2"/>
  <c r="L37" i="2"/>
  <c r="L36" i="2"/>
  <c r="L35" i="2"/>
  <c r="J38" i="2"/>
  <c r="J37" i="2"/>
  <c r="J36" i="2"/>
  <c r="J35" i="2"/>
  <c r="T33" i="2"/>
  <c r="Z33" i="2" s="1"/>
  <c r="T32" i="2"/>
  <c r="Z32" i="2" s="1"/>
  <c r="T31" i="2"/>
  <c r="L33" i="2"/>
  <c r="L32" i="2"/>
  <c r="L31" i="2"/>
  <c r="L30" i="2"/>
  <c r="J33" i="2"/>
  <c r="J32" i="2"/>
  <c r="J31" i="2"/>
  <c r="J30" i="2"/>
  <c r="T28" i="2"/>
  <c r="Z28" i="2" s="1"/>
  <c r="T27" i="2"/>
  <c r="Z27" i="2" s="1"/>
  <c r="T26" i="2"/>
  <c r="Z26" i="2" s="1"/>
  <c r="T25" i="2"/>
  <c r="Z25" i="2" s="1"/>
  <c r="T24" i="2"/>
  <c r="Z24" i="2" s="1"/>
  <c r="T23" i="2"/>
  <c r="Z23" i="2" s="1"/>
  <c r="T22" i="2"/>
  <c r="Z22" i="2" s="1"/>
  <c r="L28" i="2"/>
  <c r="L27" i="2"/>
  <c r="L26" i="2"/>
  <c r="L25" i="2"/>
  <c r="L24" i="2"/>
  <c r="L23" i="2"/>
  <c r="L22" i="2"/>
  <c r="J28" i="2"/>
  <c r="J27" i="2"/>
  <c r="J26" i="2"/>
  <c r="J25" i="2"/>
  <c r="J24" i="2"/>
  <c r="J23" i="2"/>
  <c r="J22" i="2"/>
  <c r="X20" i="2"/>
  <c r="T19" i="2"/>
  <c r="Z19" i="2" s="1"/>
  <c r="T14" i="2"/>
  <c r="Z14" i="2" s="1"/>
  <c r="L16" i="2"/>
  <c r="L20" i="2"/>
  <c r="L19" i="2"/>
  <c r="L18" i="2"/>
  <c r="J20" i="2"/>
  <c r="J19" i="2"/>
  <c r="J18" i="2"/>
  <c r="J16" i="2"/>
  <c r="U13" i="2"/>
  <c r="L14" i="2"/>
  <c r="L13" i="2"/>
  <c r="T13" i="2"/>
  <c r="Z13" i="2" s="1"/>
  <c r="J14" i="2"/>
  <c r="J13" i="2"/>
  <c r="L6" i="2"/>
  <c r="L9" i="2"/>
  <c r="L10" i="2"/>
  <c r="L11" i="2"/>
  <c r="L7" i="2"/>
  <c r="K7" i="2"/>
  <c r="J6" i="2"/>
  <c r="I7" i="2"/>
  <c r="I6" i="1"/>
  <c r="J7" i="2"/>
  <c r="J10" i="2"/>
  <c r="J8" i="2"/>
  <c r="J9" i="2"/>
  <c r="J11" i="2"/>
  <c r="Y7" i="2"/>
  <c r="U7" i="2"/>
  <c r="AB14" i="3" l="1"/>
  <c r="Z45" i="3"/>
  <c r="AB46" i="3"/>
  <c r="M106" i="8" s="1"/>
  <c r="Z30" i="2"/>
  <c r="I575" i="18" s="1"/>
  <c r="I647" i="18"/>
  <c r="AB166" i="2"/>
  <c r="AB165" i="2" s="1"/>
  <c r="M81" i="8" s="1"/>
  <c r="V106" i="2"/>
  <c r="I67" i="8" s="1"/>
  <c r="Z165" i="2"/>
  <c r="K81" i="8" s="1"/>
  <c r="V3" i="4"/>
  <c r="I123" i="8" s="1"/>
  <c r="K155" i="8"/>
  <c r="E106" i="13" s="1"/>
  <c r="Z135" i="4"/>
  <c r="AB97" i="4"/>
  <c r="M147" i="8" s="1"/>
  <c r="P12" i="13" s="1"/>
  <c r="D95" i="13" s="1"/>
  <c r="K106" i="8"/>
  <c r="E54" i="12" s="1"/>
  <c r="AB17" i="5"/>
  <c r="M166" i="8" s="1"/>
  <c r="O7" i="15" s="1"/>
  <c r="D56" i="15" s="1"/>
  <c r="AB30" i="6"/>
  <c r="M203" i="8" s="1"/>
  <c r="M7" i="17" s="1"/>
  <c r="D52" i="17" s="1"/>
  <c r="AB203" i="2"/>
  <c r="M91" i="8" s="1"/>
  <c r="D106" i="10" s="1"/>
  <c r="I605" i="18"/>
  <c r="AB70" i="2"/>
  <c r="I655" i="18"/>
  <c r="AB142" i="2"/>
  <c r="AB140" i="2" s="1"/>
  <c r="M75" i="8" s="1"/>
  <c r="D83" i="10" s="1"/>
  <c r="AB4" i="6"/>
  <c r="Z68" i="2"/>
  <c r="K60" i="8" s="1"/>
  <c r="E50" i="10" s="1"/>
  <c r="I604" i="18"/>
  <c r="AB69" i="2"/>
  <c r="AB97" i="2"/>
  <c r="AB137" i="2"/>
  <c r="I651" i="18"/>
  <c r="Z131" i="2"/>
  <c r="K74" i="8" s="1"/>
  <c r="AB139" i="2"/>
  <c r="I653" i="18"/>
  <c r="AB146" i="2"/>
  <c r="I658" i="18"/>
  <c r="AB134" i="2"/>
  <c r="I648" i="18"/>
  <c r="I590" i="18"/>
  <c r="X145" i="2"/>
  <c r="I624" i="18"/>
  <c r="AB102" i="2"/>
  <c r="Z26" i="4"/>
  <c r="K127" i="8"/>
  <c r="E7" i="13" s="1"/>
  <c r="K125" i="8"/>
  <c r="K124" i="8" s="1"/>
  <c r="E6" i="13" s="1"/>
  <c r="AB64" i="3"/>
  <c r="M109" i="8" s="1"/>
  <c r="D56" i="12" s="1"/>
  <c r="AB28" i="3"/>
  <c r="M100" i="8" s="1"/>
  <c r="D42" i="12" s="1"/>
  <c r="AB39" i="2"/>
  <c r="M54" i="8" s="1"/>
  <c r="D44" i="10" s="1"/>
  <c r="Z159" i="2"/>
  <c r="AB159" i="2" s="1"/>
  <c r="AB154" i="2" s="1"/>
  <c r="AB56" i="2"/>
  <c r="M58" i="8" s="1"/>
  <c r="D48" i="10" s="1"/>
  <c r="AB73" i="2"/>
  <c r="M61" i="8" s="1"/>
  <c r="D51" i="10" s="1"/>
  <c r="AB32" i="2"/>
  <c r="I577" i="18"/>
  <c r="AB24" i="2"/>
  <c r="I570" i="18"/>
  <c r="AB28" i="2"/>
  <c r="I574" i="18"/>
  <c r="AB23" i="2"/>
  <c r="I569" i="18"/>
  <c r="AB22" i="2"/>
  <c r="I568" i="18"/>
  <c r="AB31" i="2"/>
  <c r="I576" i="18"/>
  <c r="AB100" i="3"/>
  <c r="M116" i="8" s="1"/>
  <c r="O11" i="12" s="1"/>
  <c r="D69" i="12" s="1"/>
  <c r="Z67" i="3"/>
  <c r="AB5" i="3"/>
  <c r="M94" i="8" s="1"/>
  <c r="AB77" i="5"/>
  <c r="M184" i="8" s="1"/>
  <c r="O10" i="15" s="1"/>
  <c r="D86" i="15" s="1"/>
  <c r="AB163" i="2"/>
  <c r="AB160" i="2" s="1"/>
  <c r="M79" i="8" s="1"/>
  <c r="I554" i="18"/>
  <c r="Z21" i="3"/>
  <c r="K98" i="8" s="1"/>
  <c r="E40" i="12" s="1"/>
  <c r="I210" i="18"/>
  <c r="AB85" i="2"/>
  <c r="M63" i="8" s="1"/>
  <c r="D53" i="10" s="1"/>
  <c r="K63" i="8"/>
  <c r="E53" i="10" s="1"/>
  <c r="AB118" i="2"/>
  <c r="I639" i="18"/>
  <c r="AB115" i="2"/>
  <c r="I636" i="18"/>
  <c r="AB108" i="2"/>
  <c r="I629" i="18"/>
  <c r="AB96" i="2"/>
  <c r="I619" i="18"/>
  <c r="M125" i="8"/>
  <c r="D48" i="13" s="1"/>
  <c r="AB62" i="2"/>
  <c r="I598" i="18"/>
  <c r="AB61" i="2"/>
  <c r="I597" i="18"/>
  <c r="AB38" i="2"/>
  <c r="I582" i="18"/>
  <c r="AB37" i="2"/>
  <c r="I581" i="18"/>
  <c r="AB36" i="2"/>
  <c r="I580" i="18"/>
  <c r="AB35" i="2"/>
  <c r="I579" i="18"/>
  <c r="AB33" i="2"/>
  <c r="I578" i="18"/>
  <c r="AB27" i="2"/>
  <c r="I573" i="18"/>
  <c r="AB26" i="2"/>
  <c r="I572" i="18"/>
  <c r="AB25" i="2"/>
  <c r="I571" i="18"/>
  <c r="AB19" i="2"/>
  <c r="I566" i="18"/>
  <c r="AB14" i="2"/>
  <c r="I562" i="18"/>
  <c r="AB13" i="2"/>
  <c r="I561" i="18"/>
  <c r="AB147" i="2"/>
  <c r="I659" i="18"/>
  <c r="AB82" i="4"/>
  <c r="M143" i="8" s="1"/>
  <c r="P11" i="13" s="1"/>
  <c r="D83" i="13" s="1"/>
  <c r="M205" i="8"/>
  <c r="D54" i="17" s="1"/>
  <c r="Z126" i="2"/>
  <c r="K72" i="8" s="1"/>
  <c r="E76" i="10" s="1"/>
  <c r="I643" i="18"/>
  <c r="M185" i="8"/>
  <c r="D87" i="15" s="1"/>
  <c r="M163" i="8"/>
  <c r="D48" i="15" s="1"/>
  <c r="K162" i="8"/>
  <c r="E6" i="15" s="1"/>
  <c r="E48" i="15"/>
  <c r="E69" i="15"/>
  <c r="K147" i="8"/>
  <c r="E11" i="13" s="1"/>
  <c r="M145" i="8"/>
  <c r="D85" i="13" s="1"/>
  <c r="AB135" i="4"/>
  <c r="M153" i="8" s="1"/>
  <c r="M124" i="8"/>
  <c r="P7" i="13" s="1"/>
  <c r="D47" i="13" s="1"/>
  <c r="AB26" i="4"/>
  <c r="M127" i="8" s="1"/>
  <c r="P8" i="13" s="1"/>
  <c r="D55" i="13" s="1"/>
  <c r="M154" i="8"/>
  <c r="D105" i="13" s="1"/>
  <c r="AB124" i="3"/>
  <c r="M120" i="8" s="1"/>
  <c r="O12" i="12" s="1"/>
  <c r="D78" i="12" s="1"/>
  <c r="M119" i="8"/>
  <c r="D72" i="12" s="1"/>
  <c r="M121" i="8"/>
  <c r="D79" i="12" s="1"/>
  <c r="Z4" i="3"/>
  <c r="AB11" i="3"/>
  <c r="K122" i="8"/>
  <c r="E80" i="12" s="1"/>
  <c r="K101" i="8"/>
  <c r="E45" i="12" s="1"/>
  <c r="K111" i="8"/>
  <c r="E63" i="12" s="1"/>
  <c r="AB67" i="3"/>
  <c r="M110" i="8" s="1"/>
  <c r="O10" i="12" s="1"/>
  <c r="D61" i="12" s="1"/>
  <c r="M112" i="8"/>
  <c r="D64" i="12" s="1"/>
  <c r="AB33" i="3"/>
  <c r="M101" i="8" s="1"/>
  <c r="O8" i="12" s="1"/>
  <c r="D45" i="12" s="1"/>
  <c r="Z160" i="2"/>
  <c r="AB77" i="2"/>
  <c r="M62" i="8" s="1"/>
  <c r="D52" i="10" s="1"/>
  <c r="L119" i="2"/>
  <c r="AB93" i="2"/>
  <c r="K69" i="8"/>
  <c r="E73" i="10" s="1"/>
  <c r="AB148" i="2"/>
  <c r="M77" i="8" s="1"/>
  <c r="D85" i="10" s="1"/>
  <c r="AB124" i="2"/>
  <c r="M71" i="8" s="1"/>
  <c r="D75" i="10" s="1"/>
  <c r="AB49" i="2"/>
  <c r="M56" i="8" s="1"/>
  <c r="D46" i="10" s="1"/>
  <c r="V3" i="6"/>
  <c r="I198" i="8" s="1"/>
  <c r="M9" i="7" s="1"/>
  <c r="V160" i="2"/>
  <c r="I79" i="8" s="1"/>
  <c r="D80" i="12"/>
  <c r="I93" i="8"/>
  <c r="D89" i="12" s="1"/>
  <c r="X192" i="2"/>
  <c r="H192" i="2" s="1"/>
  <c r="J119" i="2"/>
  <c r="L29" i="2"/>
  <c r="H52" i="8" s="1"/>
  <c r="J34" i="2"/>
  <c r="E53" i="8" s="1"/>
  <c r="V34" i="2"/>
  <c r="I53" i="8" s="1"/>
  <c r="X126" i="2"/>
  <c r="Z145" i="2"/>
  <c r="K76" i="8" s="1"/>
  <c r="E84" i="10" s="1"/>
  <c r="X148" i="2"/>
  <c r="J12" i="2"/>
  <c r="E49" i="8" s="1"/>
  <c r="V56" i="2"/>
  <c r="I58" i="8" s="1"/>
  <c r="I88" i="8"/>
  <c r="D119" i="10" s="1"/>
  <c r="Z43" i="2"/>
  <c r="K55" i="8" s="1"/>
  <c r="E45" i="10" s="1"/>
  <c r="AB44" i="2"/>
  <c r="T17" i="2"/>
  <c r="X17" i="2"/>
  <c r="K143" i="8"/>
  <c r="E84" i="13"/>
  <c r="I96" i="8"/>
  <c r="D90" i="12" s="1"/>
  <c r="I103" i="8"/>
  <c r="I104" i="8"/>
  <c r="I105" i="8"/>
  <c r="D92" i="12" s="1"/>
  <c r="T18" i="2"/>
  <c r="Z18" i="2" s="1"/>
  <c r="X18" i="2"/>
  <c r="Z29" i="2"/>
  <c r="K52" i="8" s="1"/>
  <c r="E42" i="10" s="1"/>
  <c r="AB30" i="2"/>
  <c r="V39" i="2"/>
  <c r="I54" i="8" s="1"/>
  <c r="E70" i="12"/>
  <c r="V43" i="2"/>
  <c r="I55" i="8" s="1"/>
  <c r="D54" i="12"/>
  <c r="I120" i="8"/>
  <c r="D95" i="12" s="1"/>
  <c r="D63" i="12"/>
  <c r="E8" i="15"/>
  <c r="E68" i="15"/>
  <c r="AB23" i="3"/>
  <c r="Z52" i="2"/>
  <c r="AB55" i="2"/>
  <c r="H73" i="8"/>
  <c r="E74" i="8"/>
  <c r="E73" i="8" s="1"/>
  <c r="J130" i="2"/>
  <c r="H198" i="8"/>
  <c r="P9" i="7" s="1"/>
  <c r="V164" i="2"/>
  <c r="I81" i="8"/>
  <c r="I80" i="8" s="1"/>
  <c r="D120" i="10" s="1"/>
  <c r="Z117" i="2"/>
  <c r="I116" i="8"/>
  <c r="D94" i="12" s="1"/>
  <c r="I110" i="8"/>
  <c r="D93" i="12" s="1"/>
  <c r="D71" i="12"/>
  <c r="M89" i="8"/>
  <c r="D104" i="10" s="1"/>
  <c r="V3" i="5"/>
  <c r="I161" i="8" s="1"/>
  <c r="M155" i="8"/>
  <c r="V77" i="2"/>
  <c r="I62" i="8" s="1"/>
  <c r="V124" i="3"/>
  <c r="X124" i="3"/>
  <c r="H124" i="3" s="1"/>
  <c r="X33" i="3"/>
  <c r="H33" i="3" s="1"/>
  <c r="X164" i="2"/>
  <c r="H164" i="2" s="1"/>
  <c r="V126" i="2"/>
  <c r="I72" i="8" s="1"/>
  <c r="AB127" i="2"/>
  <c r="Z122" i="2"/>
  <c r="AB123" i="2"/>
  <c r="M69" i="8"/>
  <c r="D73" i="10" s="1"/>
  <c r="L3" i="3"/>
  <c r="H92" i="8" s="1"/>
  <c r="P6" i="7" s="1"/>
  <c r="Z116" i="2"/>
  <c r="AB103" i="2"/>
  <c r="V154" i="2"/>
  <c r="I78" i="8" s="1"/>
  <c r="X155" i="2"/>
  <c r="X154" i="2" s="1"/>
  <c r="V148" i="2"/>
  <c r="X140" i="2"/>
  <c r="V140" i="2"/>
  <c r="I75" i="8" s="1"/>
  <c r="L130" i="2"/>
  <c r="X132" i="2"/>
  <c r="X131" i="2" s="1"/>
  <c r="V131" i="2"/>
  <c r="I74" i="8" s="1"/>
  <c r="V67" i="3"/>
  <c r="X67" i="3"/>
  <c r="H67" i="3" s="1"/>
  <c r="K94" i="8"/>
  <c r="X100" i="3"/>
  <c r="H100" i="3" s="1"/>
  <c r="V100" i="3"/>
  <c r="J3" i="3"/>
  <c r="E92" i="8" s="1"/>
  <c r="E6" i="7" s="1"/>
  <c r="V192" i="2"/>
  <c r="X3" i="6"/>
  <c r="X68" i="2"/>
  <c r="V68" i="2"/>
  <c r="I60" i="8" s="1"/>
  <c r="V60" i="2"/>
  <c r="I59" i="8" s="1"/>
  <c r="X52" i="2"/>
  <c r="V52" i="2"/>
  <c r="I57" i="8" s="1"/>
  <c r="X40" i="2"/>
  <c r="X39" i="2" s="1"/>
  <c r="J29" i="2"/>
  <c r="E52" i="8" s="1"/>
  <c r="X24" i="2"/>
  <c r="V22" i="2"/>
  <c r="X22" i="2" s="1"/>
  <c r="X19" i="2"/>
  <c r="X14" i="2"/>
  <c r="V12" i="2"/>
  <c r="I49" i="8" s="1"/>
  <c r="J5" i="2"/>
  <c r="E48" i="8" s="1"/>
  <c r="X3" i="5"/>
  <c r="X3" i="4"/>
  <c r="V45" i="3"/>
  <c r="X45" i="3"/>
  <c r="H45" i="3" s="1"/>
  <c r="V15" i="3"/>
  <c r="X15" i="3"/>
  <c r="H15" i="3" s="1"/>
  <c r="V4" i="3"/>
  <c r="X4" i="3"/>
  <c r="H4" i="3" s="1"/>
  <c r="I69" i="8"/>
  <c r="X121" i="2"/>
  <c r="X120" i="2" s="1"/>
  <c r="T20" i="2"/>
  <c r="Z20" i="2" s="1"/>
  <c r="L39" i="2"/>
  <c r="H54" i="8" s="1"/>
  <c r="X86" i="2"/>
  <c r="X85" i="2" s="1"/>
  <c r="V85" i="2"/>
  <c r="I63" i="8" s="1"/>
  <c r="V30" i="2"/>
  <c r="X77" i="2"/>
  <c r="Z21" i="2"/>
  <c r="K51" i="8" s="1"/>
  <c r="E41" i="10" s="1"/>
  <c r="X31" i="2"/>
  <c r="Z34" i="2"/>
  <c r="K53" i="8" s="1"/>
  <c r="E43" i="10" s="1"/>
  <c r="X74" i="2"/>
  <c r="X73" i="2" s="1"/>
  <c r="V73" i="2"/>
  <c r="I61" i="8" s="1"/>
  <c r="J21" i="2"/>
  <c r="E51" i="8" s="1"/>
  <c r="L21" i="2"/>
  <c r="H51" i="8" s="1"/>
  <c r="X125" i="2"/>
  <c r="X124" i="2" s="1"/>
  <c r="V124" i="2"/>
  <c r="I71" i="8" s="1"/>
  <c r="X60" i="2"/>
  <c r="X25" i="2"/>
  <c r="J39" i="2"/>
  <c r="E54" i="8" s="1"/>
  <c r="L12" i="2"/>
  <c r="H49" i="8" s="1"/>
  <c r="X56" i="2"/>
  <c r="V92" i="2"/>
  <c r="I65" i="8" s="1"/>
  <c r="X92" i="2"/>
  <c r="X106" i="2"/>
  <c r="X102" i="2"/>
  <c r="X101" i="2" s="1"/>
  <c r="V101" i="2"/>
  <c r="I66" i="8" s="1"/>
  <c r="X16" i="2"/>
  <c r="V23" i="2"/>
  <c r="X23" i="2" s="1"/>
  <c r="T16" i="2"/>
  <c r="K39" i="2"/>
  <c r="W7" i="2"/>
  <c r="X27" i="2"/>
  <c r="X33" i="2"/>
  <c r="X43" i="2"/>
  <c r="L5" i="2"/>
  <c r="H48" i="8" s="1"/>
  <c r="X26" i="2"/>
  <c r="X32" i="2"/>
  <c r="V28" i="2"/>
  <c r="X28" i="2" s="1"/>
  <c r="L34" i="2"/>
  <c r="H53" i="8" s="1"/>
  <c r="X35" i="2"/>
  <c r="X34" i="2" s="1"/>
  <c r="Z12" i="2"/>
  <c r="K49" i="8" s="1"/>
  <c r="E39" i="10" s="1"/>
  <c r="V8" i="2"/>
  <c r="X8" i="2" s="1"/>
  <c r="X9" i="2"/>
  <c r="X10" i="2"/>
  <c r="X7" i="1"/>
  <c r="V8" i="1"/>
  <c r="G100" i="2"/>
  <c r="U175" i="1"/>
  <c r="T207" i="1"/>
  <c r="Z207" i="1" s="1"/>
  <c r="I496" i="18" s="1"/>
  <c r="T205" i="1"/>
  <c r="Z205" i="1" s="1"/>
  <c r="T204" i="1"/>
  <c r="Z204" i="1" s="1"/>
  <c r="I494" i="18" s="1"/>
  <c r="T202" i="1"/>
  <c r="Z202" i="1" s="1"/>
  <c r="T201" i="1"/>
  <c r="Z201" i="1" s="1"/>
  <c r="T200" i="1"/>
  <c r="Z200" i="1" s="1"/>
  <c r="T198" i="1"/>
  <c r="Z198" i="1" s="1"/>
  <c r="V197" i="1"/>
  <c r="X197" i="1" s="1"/>
  <c r="T196" i="1"/>
  <c r="Z196" i="1" s="1"/>
  <c r="I488" i="18" s="1"/>
  <c r="T194" i="1"/>
  <c r="Z194" i="1" s="1"/>
  <c r="I487" i="18" s="1"/>
  <c r="V193" i="1"/>
  <c r="V191" i="1"/>
  <c r="X191" i="1" s="1"/>
  <c r="T190" i="1"/>
  <c r="Z190" i="1" s="1"/>
  <c r="X189" i="1"/>
  <c r="T188" i="1"/>
  <c r="Z188" i="1" s="1"/>
  <c r="T187" i="1"/>
  <c r="T185" i="1"/>
  <c r="Z185" i="1" s="1"/>
  <c r="I380" i="18" s="1"/>
  <c r="X183" i="1"/>
  <c r="T182" i="1"/>
  <c r="Z182" i="1" s="1"/>
  <c r="V181" i="1"/>
  <c r="X181" i="1" s="1"/>
  <c r="Z180" i="1"/>
  <c r="T178" i="1"/>
  <c r="Z178" i="1" s="1"/>
  <c r="X177" i="1"/>
  <c r="T176" i="1"/>
  <c r="Z176" i="1" s="1"/>
  <c r="T174" i="1"/>
  <c r="Z174" i="1" s="1"/>
  <c r="T173" i="1"/>
  <c r="Z173" i="1" s="1"/>
  <c r="H45" i="8"/>
  <c r="L208" i="1"/>
  <c r="L207" i="1"/>
  <c r="J207" i="1"/>
  <c r="L204" i="1"/>
  <c r="L205" i="1"/>
  <c r="J205" i="1"/>
  <c r="J204" i="1"/>
  <c r="L202" i="1"/>
  <c r="L201" i="1"/>
  <c r="L200" i="1"/>
  <c r="J202" i="1"/>
  <c r="J201" i="1"/>
  <c r="J200" i="1"/>
  <c r="L198" i="1"/>
  <c r="L197" i="1"/>
  <c r="L196" i="1"/>
  <c r="J198" i="1"/>
  <c r="J197" i="1"/>
  <c r="J196" i="1"/>
  <c r="J194" i="1"/>
  <c r="L194" i="1"/>
  <c r="L193" i="1"/>
  <c r="J193" i="1"/>
  <c r="L189" i="1"/>
  <c r="L191" i="1"/>
  <c r="L190" i="1"/>
  <c r="L188" i="1"/>
  <c r="L187" i="1"/>
  <c r="J191" i="1"/>
  <c r="J190" i="1"/>
  <c r="J189" i="1"/>
  <c r="J188" i="1"/>
  <c r="J187" i="1"/>
  <c r="L185" i="1"/>
  <c r="L184" i="1" s="1"/>
  <c r="H38" i="8" s="1"/>
  <c r="J185" i="1"/>
  <c r="J184" i="1" s="1"/>
  <c r="E38" i="8" s="1"/>
  <c r="L183" i="1"/>
  <c r="L182" i="1"/>
  <c r="L181" i="1"/>
  <c r="L180" i="1"/>
  <c r="J183" i="1"/>
  <c r="J182" i="1"/>
  <c r="J181" i="1"/>
  <c r="J180" i="1"/>
  <c r="L178" i="1"/>
  <c r="L177" i="1"/>
  <c r="L176" i="1"/>
  <c r="J178" i="1"/>
  <c r="J176" i="1"/>
  <c r="L174" i="1"/>
  <c r="L173" i="1"/>
  <c r="J177" i="1"/>
  <c r="J174" i="1"/>
  <c r="J173" i="1"/>
  <c r="AA166" i="1"/>
  <c r="L170" i="1"/>
  <c r="L169" i="1"/>
  <c r="L168" i="1"/>
  <c r="L167" i="1"/>
  <c r="K168" i="1"/>
  <c r="K169" i="1"/>
  <c r="K170" i="1"/>
  <c r="K167" i="1"/>
  <c r="J170" i="1"/>
  <c r="J169" i="1"/>
  <c r="J168" i="1"/>
  <c r="J167" i="1"/>
  <c r="L165" i="1"/>
  <c r="L164" i="1"/>
  <c r="L163" i="1"/>
  <c r="L162" i="1"/>
  <c r="L161" i="1"/>
  <c r="J164" i="1"/>
  <c r="J162" i="1"/>
  <c r="J163" i="1"/>
  <c r="J165" i="1"/>
  <c r="J161" i="1"/>
  <c r="L156" i="1"/>
  <c r="L154" i="1"/>
  <c r="L159" i="1"/>
  <c r="L157" i="1"/>
  <c r="L155" i="1"/>
  <c r="J159" i="1"/>
  <c r="J157" i="1"/>
  <c r="J156" i="1"/>
  <c r="J155" i="1"/>
  <c r="L152" i="1"/>
  <c r="L150" i="1"/>
  <c r="J152" i="1"/>
  <c r="J150" i="1"/>
  <c r="L147" i="1"/>
  <c r="L146" i="1"/>
  <c r="L145" i="1"/>
  <c r="L144" i="1"/>
  <c r="J147" i="1"/>
  <c r="J146" i="1"/>
  <c r="J145" i="1"/>
  <c r="J144" i="1"/>
  <c r="L142" i="1"/>
  <c r="L141" i="1"/>
  <c r="J142" i="1"/>
  <c r="J141" i="1"/>
  <c r="L139" i="1"/>
  <c r="L137" i="1"/>
  <c r="L135" i="1"/>
  <c r="L133" i="1"/>
  <c r="L132" i="1"/>
  <c r="J139" i="1"/>
  <c r="J137" i="1"/>
  <c r="J135" i="1"/>
  <c r="J133" i="1"/>
  <c r="J132" i="1"/>
  <c r="V165" i="1"/>
  <c r="X165" i="1" s="1"/>
  <c r="T169" i="1"/>
  <c r="Z169" i="1" s="1"/>
  <c r="T167" i="1"/>
  <c r="Z167" i="1" s="1"/>
  <c r="T163" i="1"/>
  <c r="Z163" i="1" s="1"/>
  <c r="T162" i="1"/>
  <c r="Z162" i="1" s="1"/>
  <c r="T161" i="1"/>
  <c r="Z161" i="1" s="1"/>
  <c r="T159" i="1"/>
  <c r="Z159" i="1" s="1"/>
  <c r="T158" i="1"/>
  <c r="AB158" i="1" s="1"/>
  <c r="T157" i="1"/>
  <c r="Z157" i="1" s="1"/>
  <c r="I464" i="18" s="1"/>
  <c r="T156" i="1"/>
  <c r="Z156" i="1" s="1"/>
  <c r="T155" i="1"/>
  <c r="Z155" i="1" s="1"/>
  <c r="T154" i="1"/>
  <c r="Z154" i="1" s="1"/>
  <c r="T152" i="1"/>
  <c r="Z152" i="1" s="1"/>
  <c r="T150" i="1"/>
  <c r="T147" i="1"/>
  <c r="Z147" i="1" s="1"/>
  <c r="T146" i="1"/>
  <c r="Z146" i="1" s="1"/>
  <c r="T145" i="1"/>
  <c r="Z145" i="1" s="1"/>
  <c r="T144" i="1"/>
  <c r="Z144" i="1" s="1"/>
  <c r="T142" i="1"/>
  <c r="Z142" i="1" s="1"/>
  <c r="T141" i="1"/>
  <c r="Z141" i="1" s="1"/>
  <c r="T139" i="1"/>
  <c r="Z139" i="1" s="1"/>
  <c r="T137" i="1"/>
  <c r="Z137" i="1" s="1"/>
  <c r="T136" i="1"/>
  <c r="T135" i="1"/>
  <c r="Z135" i="1" s="1"/>
  <c r="V127" i="1"/>
  <c r="W124" i="1"/>
  <c r="J127" i="1"/>
  <c r="T124" i="1"/>
  <c r="Z124" i="1" s="1"/>
  <c r="T123" i="1"/>
  <c r="Z123" i="1" s="1"/>
  <c r="T122" i="1"/>
  <c r="Z122" i="1" s="1"/>
  <c r="T120" i="1"/>
  <c r="T118" i="1"/>
  <c r="Z118" i="1" s="1"/>
  <c r="T117" i="1"/>
  <c r="Z117" i="1" s="1"/>
  <c r="T116" i="1"/>
  <c r="Z116" i="1" s="1"/>
  <c r="T115" i="1"/>
  <c r="Z115" i="1" s="1"/>
  <c r="T114" i="1"/>
  <c r="Z114" i="1" s="1"/>
  <c r="T113" i="1"/>
  <c r="Z113" i="1" s="1"/>
  <c r="T112" i="1"/>
  <c r="T109" i="1"/>
  <c r="T108" i="1"/>
  <c r="T107" i="1"/>
  <c r="T106" i="1"/>
  <c r="Z106" i="1" s="1"/>
  <c r="V104" i="1"/>
  <c r="T103" i="1"/>
  <c r="Z103" i="1" s="1"/>
  <c r="T101" i="1"/>
  <c r="Z101" i="1" s="1"/>
  <c r="L120" i="1"/>
  <c r="L124" i="1"/>
  <c r="L123" i="1"/>
  <c r="L122" i="1"/>
  <c r="L119" i="1"/>
  <c r="L118" i="1"/>
  <c r="L117" i="1"/>
  <c r="L116" i="1"/>
  <c r="L115" i="1"/>
  <c r="L114" i="1"/>
  <c r="L113" i="1"/>
  <c r="L106" i="1"/>
  <c r="J113" i="1"/>
  <c r="J114" i="1"/>
  <c r="J115" i="1"/>
  <c r="J116" i="1"/>
  <c r="J117" i="1"/>
  <c r="J118" i="1"/>
  <c r="J119" i="1"/>
  <c r="J120" i="1"/>
  <c r="J122" i="1"/>
  <c r="J123" i="1"/>
  <c r="J124" i="1"/>
  <c r="J106" i="1"/>
  <c r="L103" i="1"/>
  <c r="L104" i="1"/>
  <c r="J104" i="1"/>
  <c r="J103" i="1"/>
  <c r="L101" i="1"/>
  <c r="J101" i="1"/>
  <c r="L100" i="1"/>
  <c r="J100" i="1"/>
  <c r="X96" i="1"/>
  <c r="X97" i="1"/>
  <c r="V98" i="1"/>
  <c r="X98" i="1" s="1"/>
  <c r="L94" i="1"/>
  <c r="L95" i="1"/>
  <c r="L96" i="1"/>
  <c r="L97" i="1"/>
  <c r="L98" i="1"/>
  <c r="L93" i="1"/>
  <c r="J94" i="1"/>
  <c r="J95" i="1"/>
  <c r="J96" i="1"/>
  <c r="J97" i="1"/>
  <c r="J98" i="1"/>
  <c r="J93" i="1"/>
  <c r="V89" i="1"/>
  <c r="V90" i="1"/>
  <c r="X90" i="1" s="1"/>
  <c r="T88" i="1"/>
  <c r="L89" i="1"/>
  <c r="L90" i="1"/>
  <c r="J89" i="1"/>
  <c r="J90" i="1"/>
  <c r="L78" i="1"/>
  <c r="J81" i="1"/>
  <c r="J82" i="1"/>
  <c r="J83" i="1"/>
  <c r="J84" i="1"/>
  <c r="J85" i="1"/>
  <c r="J86" i="1"/>
  <c r="J78" i="1"/>
  <c r="J7" i="1"/>
  <c r="J67" i="1"/>
  <c r="J68" i="1"/>
  <c r="J70" i="1"/>
  <c r="J73" i="1"/>
  <c r="J74" i="1"/>
  <c r="J59" i="1"/>
  <c r="J60" i="1"/>
  <c r="J61" i="1"/>
  <c r="J56" i="1"/>
  <c r="T79" i="1"/>
  <c r="T80" i="1"/>
  <c r="V81" i="1"/>
  <c r="X81" i="1" s="1"/>
  <c r="V82" i="1"/>
  <c r="X82" i="1" s="1"/>
  <c r="T83" i="1"/>
  <c r="Z83" i="1" s="1"/>
  <c r="V84" i="1"/>
  <c r="X84" i="1" s="1"/>
  <c r="T85" i="1"/>
  <c r="Z85" i="1" s="1"/>
  <c r="V86" i="1"/>
  <c r="X86" i="1" s="1"/>
  <c r="T78" i="1"/>
  <c r="Z78" i="1" s="1"/>
  <c r="L81" i="1"/>
  <c r="L82" i="1"/>
  <c r="L83" i="1"/>
  <c r="L84" i="1"/>
  <c r="L85" i="1"/>
  <c r="L86" i="1"/>
  <c r="Z199" i="1" l="1"/>
  <c r="Z106" i="2"/>
  <c r="K79" i="8"/>
  <c r="AB85" i="1"/>
  <c r="I405" i="18"/>
  <c r="T119" i="1"/>
  <c r="Z119" i="1" s="1"/>
  <c r="I433" i="18" s="1"/>
  <c r="V119" i="1"/>
  <c r="X119" i="1" s="1"/>
  <c r="K153" i="8"/>
  <c r="E104" i="13" s="1"/>
  <c r="X127" i="1"/>
  <c r="X125" i="1" s="1"/>
  <c r="V125" i="1"/>
  <c r="I25" i="8" s="1"/>
  <c r="T121" i="1"/>
  <c r="X121" i="1"/>
  <c r="K57" i="8"/>
  <c r="E47" i="10" s="1"/>
  <c r="T210" i="1"/>
  <c r="AB210" i="1" s="1"/>
  <c r="T211" i="1"/>
  <c r="Z211" i="1" s="1"/>
  <c r="AB211" i="1" s="1"/>
  <c r="V211" i="1"/>
  <c r="AB3" i="6"/>
  <c r="M198" i="8" s="1"/>
  <c r="M5" i="17" s="1"/>
  <c r="AB131" i="2"/>
  <c r="M74" i="8" s="1"/>
  <c r="D82" i="10" s="1"/>
  <c r="AB68" i="2"/>
  <c r="M60" i="8" s="1"/>
  <c r="D50" i="10" s="1"/>
  <c r="M199" i="8"/>
  <c r="M6" i="17" s="1"/>
  <c r="D42" i="17" s="1"/>
  <c r="I482" i="18"/>
  <c r="AB188" i="1"/>
  <c r="I476" i="18"/>
  <c r="AB178" i="1"/>
  <c r="I493" i="18"/>
  <c r="AB202" i="1"/>
  <c r="I461" i="18"/>
  <c r="AB154" i="1"/>
  <c r="I466" i="18"/>
  <c r="AB159" i="1"/>
  <c r="I398" i="18"/>
  <c r="AB78" i="1"/>
  <c r="E55" i="13"/>
  <c r="AB145" i="2"/>
  <c r="M76" i="8" s="1"/>
  <c r="D84" i="10" s="1"/>
  <c r="AB45" i="3"/>
  <c r="M105" i="8" s="1"/>
  <c r="O9" i="12" s="1"/>
  <c r="D53" i="12" s="1"/>
  <c r="E47" i="13"/>
  <c r="E48" i="13"/>
  <c r="AB4" i="3"/>
  <c r="M93" i="8" s="1"/>
  <c r="O6" i="12" s="1"/>
  <c r="D33" i="12" s="1"/>
  <c r="AB60" i="2"/>
  <c r="M59" i="8" s="1"/>
  <c r="D49" i="10" s="1"/>
  <c r="I669" i="18"/>
  <c r="Z154" i="2"/>
  <c r="K78" i="8" s="1"/>
  <c r="E86" i="10" s="1"/>
  <c r="Z15" i="3"/>
  <c r="I463" i="18"/>
  <c r="AB156" i="1"/>
  <c r="T168" i="1"/>
  <c r="Z168" i="1" s="1"/>
  <c r="AB168" i="1" s="1"/>
  <c r="V168" i="1"/>
  <c r="X168" i="1" s="1"/>
  <c r="T151" i="1"/>
  <c r="X151" i="1"/>
  <c r="I473" i="18"/>
  <c r="AB174" i="1"/>
  <c r="Z208" i="1"/>
  <c r="T111" i="1"/>
  <c r="V111" i="1"/>
  <c r="X111" i="1" s="1"/>
  <c r="T170" i="1"/>
  <c r="Z170" i="1" s="1"/>
  <c r="I379" i="18" s="1"/>
  <c r="V170" i="1"/>
  <c r="X170" i="1" s="1"/>
  <c r="AB21" i="2"/>
  <c r="M51" i="8" s="1"/>
  <c r="D41" i="10" s="1"/>
  <c r="AB12" i="2"/>
  <c r="M49" i="8" s="1"/>
  <c r="D39" i="10" s="1"/>
  <c r="I492" i="18"/>
  <c r="Z187" i="1"/>
  <c r="I472" i="18"/>
  <c r="Z172" i="1"/>
  <c r="AB167" i="1"/>
  <c r="I376" i="18"/>
  <c r="T164" i="1"/>
  <c r="Z164" i="1" s="1"/>
  <c r="AB163" i="1"/>
  <c r="I469" i="18"/>
  <c r="AB162" i="1"/>
  <c r="I468" i="18"/>
  <c r="T134" i="1"/>
  <c r="X134" i="1"/>
  <c r="E46" i="15"/>
  <c r="AB117" i="2"/>
  <c r="I638" i="18"/>
  <c r="AB116" i="2"/>
  <c r="I637" i="18"/>
  <c r="AB34" i="2"/>
  <c r="M53" i="8" s="1"/>
  <c r="D43" i="10" s="1"/>
  <c r="AB18" i="2"/>
  <c r="I565" i="18"/>
  <c r="AB20" i="2"/>
  <c r="I567" i="18"/>
  <c r="AB124" i="1"/>
  <c r="I438" i="18"/>
  <c r="AB123" i="1"/>
  <c r="I437" i="18"/>
  <c r="AB122" i="1"/>
  <c r="I436" i="18"/>
  <c r="AB120" i="1"/>
  <c r="I434" i="18"/>
  <c r="AB118" i="1"/>
  <c r="I432" i="18"/>
  <c r="AB117" i="1"/>
  <c r="I431" i="18"/>
  <c r="AB116" i="1"/>
  <c r="I430" i="18"/>
  <c r="AB115" i="1"/>
  <c r="I429" i="18"/>
  <c r="AB114" i="1"/>
  <c r="I428" i="18"/>
  <c r="AB113" i="1"/>
  <c r="I427" i="18"/>
  <c r="AB106" i="1"/>
  <c r="I420" i="18"/>
  <c r="AB103" i="1"/>
  <c r="AB102" i="1" s="1"/>
  <c r="M23" i="8" s="1"/>
  <c r="D63" i="11" s="1"/>
  <c r="I418" i="18"/>
  <c r="AB101" i="1"/>
  <c r="I417" i="18"/>
  <c r="AB155" i="1"/>
  <c r="I462" i="18"/>
  <c r="AB83" i="1"/>
  <c r="I403" i="18"/>
  <c r="AB205" i="1"/>
  <c r="I495" i="18"/>
  <c r="AB200" i="1"/>
  <c r="I491" i="18"/>
  <c r="AB198" i="1"/>
  <c r="I490" i="18"/>
  <c r="AB190" i="1"/>
  <c r="I484" i="18"/>
  <c r="AB180" i="1"/>
  <c r="I477" i="18"/>
  <c r="AB182" i="1"/>
  <c r="I479" i="18"/>
  <c r="Z119" i="2"/>
  <c r="AB169" i="1"/>
  <c r="I378" i="18"/>
  <c r="AB161" i="1"/>
  <c r="I467" i="18"/>
  <c r="AB152" i="1"/>
  <c r="I460" i="18"/>
  <c r="AB150" i="1"/>
  <c r="I458" i="18"/>
  <c r="AB147" i="1"/>
  <c r="I456" i="18"/>
  <c r="AB145" i="1"/>
  <c r="I454" i="18"/>
  <c r="AB144" i="1"/>
  <c r="I453" i="18"/>
  <c r="AB146" i="1"/>
  <c r="I455" i="18"/>
  <c r="AB142" i="1"/>
  <c r="I452" i="18"/>
  <c r="AB141" i="1"/>
  <c r="I451" i="18"/>
  <c r="AB139" i="1"/>
  <c r="I450" i="18"/>
  <c r="AB137" i="1"/>
  <c r="I448" i="18"/>
  <c r="AB135" i="1"/>
  <c r="I446" i="18"/>
  <c r="AB132" i="1"/>
  <c r="I443" i="18"/>
  <c r="E95" i="13"/>
  <c r="K110" i="8"/>
  <c r="E8" i="12"/>
  <c r="K120" i="8"/>
  <c r="E12" i="12" s="1"/>
  <c r="AB21" i="3"/>
  <c r="AB15" i="3" s="1"/>
  <c r="M96" i="8" s="1"/>
  <c r="O7" i="12" s="1"/>
  <c r="D38" i="12" s="1"/>
  <c r="M95" i="8"/>
  <c r="D35" i="12" s="1"/>
  <c r="AB29" i="2"/>
  <c r="M52" i="8" s="1"/>
  <c r="D42" i="10" s="1"/>
  <c r="AB43" i="2"/>
  <c r="M55" i="8" s="1"/>
  <c r="D45" i="10" s="1"/>
  <c r="AB122" i="2"/>
  <c r="M70" i="8" s="1"/>
  <c r="D74" i="10" s="1"/>
  <c r="AB101" i="2"/>
  <c r="M66" i="8" s="1"/>
  <c r="D59" i="10" s="1"/>
  <c r="AB126" i="2"/>
  <c r="M72" i="8" s="1"/>
  <c r="D76" i="10" s="1"/>
  <c r="M78" i="8"/>
  <c r="D86" i="10" s="1"/>
  <c r="AB52" i="2"/>
  <c r="M57" i="8" s="1"/>
  <c r="D47" i="10" s="1"/>
  <c r="D62" i="17"/>
  <c r="V33" i="3"/>
  <c r="V3" i="3" s="1"/>
  <c r="I92" i="8" s="1"/>
  <c r="J172" i="1"/>
  <c r="E35" i="8" s="1"/>
  <c r="J199" i="1"/>
  <c r="E42" i="8" s="1"/>
  <c r="L203" i="1"/>
  <c r="H43" i="8" s="1"/>
  <c r="I101" i="8"/>
  <c r="D91" i="12" s="1"/>
  <c r="E83" i="13"/>
  <c r="E10" i="13"/>
  <c r="T89" i="1"/>
  <c r="Z89" i="1" s="1"/>
  <c r="I408" i="18" s="1"/>
  <c r="X13" i="2"/>
  <c r="X12" i="2" s="1"/>
  <c r="K93" i="8"/>
  <c r="E34" i="12"/>
  <c r="P13" i="13"/>
  <c r="D104" i="13" s="1"/>
  <c r="D106" i="13"/>
  <c r="L199" i="1"/>
  <c r="H42" i="8" s="1"/>
  <c r="D109" i="15"/>
  <c r="M8" i="7"/>
  <c r="I68" i="8"/>
  <c r="D117" i="10" s="1"/>
  <c r="D120" i="13"/>
  <c r="M7" i="7"/>
  <c r="I77" i="8"/>
  <c r="V145" i="2"/>
  <c r="I76" i="8" s="1"/>
  <c r="D93" i="10"/>
  <c r="I64" i="8"/>
  <c r="D116" i="10" s="1"/>
  <c r="E93" i="10"/>
  <c r="X103" i="1"/>
  <c r="D34" i="12"/>
  <c r="E82" i="10"/>
  <c r="J195" i="1"/>
  <c r="E41" i="8" s="1"/>
  <c r="J175" i="1"/>
  <c r="E36" i="8" s="1"/>
  <c r="T149" i="1"/>
  <c r="Z149" i="1" s="1"/>
  <c r="V149" i="1"/>
  <c r="X149" i="1" s="1"/>
  <c r="X169" i="1"/>
  <c r="T90" i="1"/>
  <c r="Z90" i="1" s="1"/>
  <c r="L172" i="1"/>
  <c r="H35" i="8" s="1"/>
  <c r="X208" i="1"/>
  <c r="K70" i="8"/>
  <c r="J125" i="1"/>
  <c r="E25" i="8" s="1"/>
  <c r="X207" i="1"/>
  <c r="V205" i="1"/>
  <c r="X205" i="1" s="1"/>
  <c r="J203" i="1"/>
  <c r="E43" i="8" s="1"/>
  <c r="L195" i="1"/>
  <c r="H41" i="8" s="1"/>
  <c r="L192" i="1"/>
  <c r="H40" i="8" s="1"/>
  <c r="J186" i="1"/>
  <c r="E39" i="8" s="1"/>
  <c r="L175" i="1"/>
  <c r="H36" i="8" s="1"/>
  <c r="V173" i="1"/>
  <c r="X173" i="1" s="1"/>
  <c r="T129" i="1"/>
  <c r="J166" i="1"/>
  <c r="E33" i="8" s="1"/>
  <c r="X159" i="1"/>
  <c r="T181" i="1"/>
  <c r="Z181" i="1" s="1"/>
  <c r="L179" i="1"/>
  <c r="H37" i="8" s="1"/>
  <c r="X78" i="1"/>
  <c r="L125" i="1"/>
  <c r="H25" i="8" s="1"/>
  <c r="V162" i="1"/>
  <c r="X162" i="1" s="1"/>
  <c r="J192" i="1"/>
  <c r="E40" i="8" s="1"/>
  <c r="L206" i="1"/>
  <c r="H44" i="8" s="1"/>
  <c r="J87" i="1"/>
  <c r="E19" i="8" s="1"/>
  <c r="X120" i="1"/>
  <c r="X150" i="1"/>
  <c r="J179" i="1"/>
  <c r="E37" i="8" s="1"/>
  <c r="V185" i="1"/>
  <c r="X185" i="1" s="1"/>
  <c r="X184" i="1" s="1"/>
  <c r="T84" i="1"/>
  <c r="Z84" i="1" s="1"/>
  <c r="X123" i="1"/>
  <c r="X152" i="1"/>
  <c r="AB207" i="1"/>
  <c r="AB201" i="1"/>
  <c r="AB196" i="1"/>
  <c r="AB185" i="1"/>
  <c r="Z184" i="1"/>
  <c r="K38" i="8" s="1"/>
  <c r="E86" i="11" s="1"/>
  <c r="D127" i="11" s="1"/>
  <c r="AB173" i="1"/>
  <c r="X193" i="1"/>
  <c r="AB204" i="1"/>
  <c r="Z203" i="1"/>
  <c r="K43" i="8" s="1"/>
  <c r="E91" i="11" s="1"/>
  <c r="T81" i="1"/>
  <c r="Z81" i="1" s="1"/>
  <c r="T96" i="1"/>
  <c r="Z96" i="1" s="1"/>
  <c r="T110" i="1"/>
  <c r="V110" i="1"/>
  <c r="X110" i="1" s="1"/>
  <c r="X108" i="1"/>
  <c r="J140" i="1"/>
  <c r="E28" i="8" s="1"/>
  <c r="V161" i="1"/>
  <c r="X161" i="1" s="1"/>
  <c r="L186" i="1"/>
  <c r="H39" i="8" s="1"/>
  <c r="J206" i="1"/>
  <c r="T191" i="1"/>
  <c r="Z191" i="1" s="1"/>
  <c r="X174" i="1"/>
  <c r="J102" i="1"/>
  <c r="E23" i="8" s="1"/>
  <c r="K166" i="1"/>
  <c r="J99" i="1"/>
  <c r="E22" i="8" s="1"/>
  <c r="T183" i="1"/>
  <c r="Z183" i="1" s="1"/>
  <c r="T197" i="1"/>
  <c r="Z197" i="1" s="1"/>
  <c r="V182" i="1"/>
  <c r="X182" i="1" s="1"/>
  <c r="V190" i="1"/>
  <c r="X190" i="1" s="1"/>
  <c r="V194" i="1"/>
  <c r="X194" i="1" s="1"/>
  <c r="V107" i="1"/>
  <c r="X107" i="1" s="1"/>
  <c r="E45" i="8"/>
  <c r="T189" i="1"/>
  <c r="Z189" i="1" s="1"/>
  <c r="T177" i="1"/>
  <c r="Z177" i="1" s="1"/>
  <c r="Z175" i="1" s="1"/>
  <c r="V198" i="1"/>
  <c r="X198" i="1" s="1"/>
  <c r="V147" i="1"/>
  <c r="X147" i="1" s="1"/>
  <c r="X157" i="1"/>
  <c r="V201" i="1"/>
  <c r="X201" i="1" s="1"/>
  <c r="T104" i="1"/>
  <c r="Z104" i="1" s="1"/>
  <c r="V116" i="1"/>
  <c r="X116" i="1" s="1"/>
  <c r="L140" i="1"/>
  <c r="H28" i="8" s="1"/>
  <c r="V156" i="1"/>
  <c r="X156" i="1" s="1"/>
  <c r="V163" i="1"/>
  <c r="X163" i="1" s="1"/>
  <c r="T193" i="1"/>
  <c r="Z193" i="1" s="1"/>
  <c r="I486" i="18" s="1"/>
  <c r="V178" i="1"/>
  <c r="X178" i="1" s="1"/>
  <c r="V202" i="1"/>
  <c r="X202" i="1" s="1"/>
  <c r="X94" i="1"/>
  <c r="T94" i="1"/>
  <c r="Z94" i="1" s="1"/>
  <c r="X188" i="1"/>
  <c r="X130" i="2"/>
  <c r="H130" i="2" s="1"/>
  <c r="L160" i="1"/>
  <c r="H32" i="8" s="1"/>
  <c r="L166" i="1"/>
  <c r="H33" i="8" s="1"/>
  <c r="V167" i="1"/>
  <c r="T165" i="1"/>
  <c r="Z165" i="1" s="1"/>
  <c r="X164" i="1"/>
  <c r="J160" i="1"/>
  <c r="E32" i="8" s="1"/>
  <c r="J153" i="1"/>
  <c r="E31" i="8" s="1"/>
  <c r="L153" i="1"/>
  <c r="H31" i="8" s="1"/>
  <c r="V144" i="1"/>
  <c r="X144" i="1" s="1"/>
  <c r="V146" i="1"/>
  <c r="X146" i="1" s="1"/>
  <c r="Z143" i="1"/>
  <c r="K29" i="8" s="1"/>
  <c r="E73" i="11" s="1"/>
  <c r="V145" i="1"/>
  <c r="X145" i="1" s="1"/>
  <c r="J143" i="1"/>
  <c r="E29" i="8" s="1"/>
  <c r="L143" i="1"/>
  <c r="H29" i="8" s="1"/>
  <c r="Z140" i="1"/>
  <c r="K28" i="8" s="1"/>
  <c r="E72" i="11" s="1"/>
  <c r="X142" i="1"/>
  <c r="X135" i="1"/>
  <c r="X139" i="1"/>
  <c r="X133" i="1"/>
  <c r="V137" i="1"/>
  <c r="X137" i="1" s="1"/>
  <c r="Z153" i="1"/>
  <c r="V155" i="1"/>
  <c r="X155" i="1" s="1"/>
  <c r="V154" i="1"/>
  <c r="L87" i="1"/>
  <c r="H19" i="8" s="1"/>
  <c r="X89" i="1"/>
  <c r="X87" i="1" s="1"/>
  <c r="V87" i="1"/>
  <c r="I19" i="8" s="1"/>
  <c r="T86" i="1"/>
  <c r="Z86" i="1" s="1"/>
  <c r="I406" i="18" s="1"/>
  <c r="X85" i="1"/>
  <c r="V83" i="1"/>
  <c r="X83" i="1" s="1"/>
  <c r="T82" i="1"/>
  <c r="Z82" i="1" s="1"/>
  <c r="X79" i="1"/>
  <c r="V29" i="2"/>
  <c r="I52" i="8" s="1"/>
  <c r="V21" i="2"/>
  <c r="I51" i="8" s="1"/>
  <c r="V15" i="2"/>
  <c r="I50" i="8" s="1"/>
  <c r="T8" i="2"/>
  <c r="Z8" i="2" s="1"/>
  <c r="X3" i="3"/>
  <c r="V124" i="1"/>
  <c r="X124" i="1" s="1"/>
  <c r="X122" i="1"/>
  <c r="V118" i="1"/>
  <c r="X118" i="1" s="1"/>
  <c r="V115" i="1"/>
  <c r="X115" i="1" s="1"/>
  <c r="V117" i="1"/>
  <c r="X117" i="1" s="1"/>
  <c r="X114" i="1"/>
  <c r="V113" i="1"/>
  <c r="X113" i="1" s="1"/>
  <c r="V112" i="1"/>
  <c r="X112" i="1" s="1"/>
  <c r="X109" i="1"/>
  <c r="V106" i="1"/>
  <c r="X104" i="1"/>
  <c r="X101" i="1"/>
  <c r="L102" i="1"/>
  <c r="H23" i="8" s="1"/>
  <c r="L99" i="1"/>
  <c r="H22" i="8" s="1"/>
  <c r="T95" i="1"/>
  <c r="T97" i="1"/>
  <c r="Z97" i="1" s="1"/>
  <c r="T98" i="1"/>
  <c r="Z98" i="1" s="1"/>
  <c r="I415" i="18" s="1"/>
  <c r="L92" i="1"/>
  <c r="H21" i="8" s="1"/>
  <c r="J92" i="1"/>
  <c r="T9" i="2"/>
  <c r="Z9" i="2" s="1"/>
  <c r="X30" i="2"/>
  <c r="X29" i="2" s="1"/>
  <c r="Z6" i="2"/>
  <c r="X91" i="2"/>
  <c r="H91" i="2" s="1"/>
  <c r="X119" i="2"/>
  <c r="H119" i="2" s="1"/>
  <c r="X21" i="2"/>
  <c r="V119" i="2"/>
  <c r="V91" i="2"/>
  <c r="T11" i="2"/>
  <c r="Z11" i="2" s="1"/>
  <c r="V11" i="2"/>
  <c r="X11" i="2" s="1"/>
  <c r="T10" i="2"/>
  <c r="Z10" i="2" s="1"/>
  <c r="X15" i="2"/>
  <c r="T7" i="2"/>
  <c r="Z7" i="2" s="1"/>
  <c r="V7" i="2"/>
  <c r="T126" i="1"/>
  <c r="T128" i="1"/>
  <c r="T127" i="1"/>
  <c r="X100" i="1"/>
  <c r="T100" i="1"/>
  <c r="Z100" i="1" s="1"/>
  <c r="I416" i="18" s="1"/>
  <c r="T72" i="1"/>
  <c r="X73" i="1"/>
  <c r="T74" i="1"/>
  <c r="Z74" i="1" s="1"/>
  <c r="T75" i="1"/>
  <c r="T76" i="1"/>
  <c r="V66" i="1"/>
  <c r="V67" i="1"/>
  <c r="X67" i="1" s="1"/>
  <c r="V68" i="1"/>
  <c r="X68" i="1" s="1"/>
  <c r="T70" i="1"/>
  <c r="Z70" i="1" s="1"/>
  <c r="V59" i="1"/>
  <c r="X59" i="1" s="1"/>
  <c r="V60" i="1"/>
  <c r="X60" i="1" s="1"/>
  <c r="V61" i="1"/>
  <c r="X61" i="1" s="1"/>
  <c r="V62" i="1"/>
  <c r="X62" i="1" s="1"/>
  <c r="T63" i="1"/>
  <c r="T64" i="1"/>
  <c r="V54" i="1"/>
  <c r="X54" i="1" s="1"/>
  <c r="X55" i="1"/>
  <c r="V56" i="1"/>
  <c r="X56" i="1" s="1"/>
  <c r="T53" i="1"/>
  <c r="Z53" i="1" s="1"/>
  <c r="X49" i="1"/>
  <c r="T49" i="1"/>
  <c r="T50" i="1"/>
  <c r="Z50" i="1" s="1"/>
  <c r="AB50" i="1" s="1"/>
  <c r="X51" i="1"/>
  <c r="V46" i="1"/>
  <c r="X46" i="1" s="1"/>
  <c r="T47" i="1"/>
  <c r="Z47" i="1" s="1"/>
  <c r="AB47" i="1" s="1"/>
  <c r="T48" i="1"/>
  <c r="Z48" i="1" s="1"/>
  <c r="T45" i="1"/>
  <c r="L67" i="1"/>
  <c r="L68" i="1"/>
  <c r="L70" i="1"/>
  <c r="L72" i="1"/>
  <c r="L73" i="1"/>
  <c r="L74" i="1"/>
  <c r="L59" i="1"/>
  <c r="L60" i="1"/>
  <c r="L61" i="1"/>
  <c r="L53" i="1"/>
  <c r="L54" i="1"/>
  <c r="L55" i="1"/>
  <c r="L56" i="1"/>
  <c r="J54" i="1"/>
  <c r="J55" i="1"/>
  <c r="J53" i="1"/>
  <c r="L47" i="1"/>
  <c r="L46" i="1"/>
  <c r="L48" i="1"/>
  <c r="L49" i="1"/>
  <c r="L50" i="1"/>
  <c r="J46" i="1"/>
  <c r="J47" i="1"/>
  <c r="J48" i="1"/>
  <c r="J50" i="1"/>
  <c r="V41" i="1"/>
  <c r="X41" i="1" s="1"/>
  <c r="X42" i="1"/>
  <c r="T43" i="1"/>
  <c r="T40" i="1"/>
  <c r="Z40" i="1" s="1"/>
  <c r="L41" i="1"/>
  <c r="L42" i="1"/>
  <c r="L43" i="1"/>
  <c r="L40" i="1"/>
  <c r="J41" i="1"/>
  <c r="J42" i="1"/>
  <c r="J43" i="1"/>
  <c r="J40" i="1"/>
  <c r="L38" i="1"/>
  <c r="L37" i="1"/>
  <c r="J38" i="1"/>
  <c r="J37" i="1"/>
  <c r="T38" i="1"/>
  <c r="Z38" i="1" s="1"/>
  <c r="V37" i="1"/>
  <c r="T34" i="1"/>
  <c r="Z34" i="1" s="1"/>
  <c r="T35" i="1"/>
  <c r="Z35" i="1" s="1"/>
  <c r="T27" i="1"/>
  <c r="Z27" i="1" s="1"/>
  <c r="L34" i="1"/>
  <c r="L35" i="1"/>
  <c r="J34" i="1"/>
  <c r="J35" i="1"/>
  <c r="L33" i="1"/>
  <c r="J33" i="1"/>
  <c r="AB81" i="1" l="1"/>
  <c r="I401" i="18"/>
  <c r="Z130" i="2"/>
  <c r="AB119" i="1"/>
  <c r="E12" i="13"/>
  <c r="Z77" i="1"/>
  <c r="I498" i="18"/>
  <c r="Z5" i="2"/>
  <c r="I499" i="18"/>
  <c r="Z209" i="1"/>
  <c r="K45" i="8" s="1"/>
  <c r="E93" i="11" s="1"/>
  <c r="V209" i="1"/>
  <c r="E44" i="8"/>
  <c r="E34" i="8" s="1"/>
  <c r="J171" i="1"/>
  <c r="AB130" i="2"/>
  <c r="M73" i="8" s="1"/>
  <c r="O10" i="10" s="1"/>
  <c r="D81" i="10" s="1"/>
  <c r="K73" i="8"/>
  <c r="E81" i="10" s="1"/>
  <c r="AB203" i="1"/>
  <c r="M43" i="8" s="1"/>
  <c r="D91" i="11" s="1"/>
  <c r="E10" i="12"/>
  <c r="E61" i="12"/>
  <c r="I533" i="18"/>
  <c r="AB48" i="1"/>
  <c r="AB140" i="1"/>
  <c r="M28" i="8" s="1"/>
  <c r="D72" i="11" s="1"/>
  <c r="AB209" i="1"/>
  <c r="M45" i="8" s="1"/>
  <c r="D93" i="11" s="1"/>
  <c r="I537" i="18"/>
  <c r="AB53" i="1"/>
  <c r="AB153" i="1"/>
  <c r="M31" i="8" s="1"/>
  <c r="D75" i="11" s="1"/>
  <c r="Z186" i="1"/>
  <c r="AB106" i="2"/>
  <c r="M67" i="8" s="1"/>
  <c r="D60" i="10" s="1"/>
  <c r="AB172" i="1"/>
  <c r="M35" i="8" s="1"/>
  <c r="D83" i="11" s="1"/>
  <c r="AB208" i="1"/>
  <c r="I497" i="18"/>
  <c r="Z206" i="1"/>
  <c r="K44" i="8" s="1"/>
  <c r="E92" i="11" s="1"/>
  <c r="Z166" i="1"/>
  <c r="K33" i="8" s="1"/>
  <c r="AB90" i="1"/>
  <c r="I409" i="18"/>
  <c r="I377" i="18"/>
  <c r="I535" i="18"/>
  <c r="V166" i="1"/>
  <c r="I33" i="8" s="1"/>
  <c r="AB170" i="1"/>
  <c r="AB166" i="1" s="1"/>
  <c r="M33" i="8" s="1"/>
  <c r="AB187" i="1"/>
  <c r="AB40" i="1"/>
  <c r="I526" i="18"/>
  <c r="AB199" i="1"/>
  <c r="M42" i="8" s="1"/>
  <c r="D90" i="11" s="1"/>
  <c r="I457" i="18"/>
  <c r="AB143" i="1"/>
  <c r="M29" i="8" s="1"/>
  <c r="D73" i="11" s="1"/>
  <c r="AB8" i="2"/>
  <c r="I557" i="18"/>
  <c r="I481" i="18"/>
  <c r="I474" i="18"/>
  <c r="AB176" i="1"/>
  <c r="R9" i="7"/>
  <c r="AB164" i="1"/>
  <c r="I470" i="18"/>
  <c r="AB11" i="2"/>
  <c r="I560" i="18"/>
  <c r="AB9" i="2"/>
  <c r="I558" i="18"/>
  <c r="AB10" i="2"/>
  <c r="I559" i="18"/>
  <c r="AB7" i="2"/>
  <c r="I556" i="18"/>
  <c r="AB6" i="2"/>
  <c r="I555" i="18"/>
  <c r="AB43" i="1"/>
  <c r="I529" i="18"/>
  <c r="Z102" i="1"/>
  <c r="K23" i="8" s="1"/>
  <c r="E63" i="11" s="1"/>
  <c r="I419" i="18"/>
  <c r="AB97" i="1"/>
  <c r="I414" i="18"/>
  <c r="AB96" i="1"/>
  <c r="I413" i="18"/>
  <c r="AB94" i="1"/>
  <c r="I411" i="18"/>
  <c r="K31" i="8"/>
  <c r="E75" i="11" s="1"/>
  <c r="AB84" i="1"/>
  <c r="I404" i="18"/>
  <c r="AB82" i="1"/>
  <c r="I402" i="18"/>
  <c r="AB75" i="1"/>
  <c r="I395" i="18"/>
  <c r="AB70" i="1"/>
  <c r="I391" i="18"/>
  <c r="I532" i="18"/>
  <c r="AB197" i="1"/>
  <c r="AB195" i="1" s="1"/>
  <c r="M41" i="8" s="1"/>
  <c r="D89" i="11" s="1"/>
  <c r="I489" i="18"/>
  <c r="AB191" i="1"/>
  <c r="I485" i="18"/>
  <c r="AB189" i="1"/>
  <c r="I483" i="18"/>
  <c r="AB181" i="1"/>
  <c r="I478" i="18"/>
  <c r="AB183" i="1"/>
  <c r="I480" i="18"/>
  <c r="AB177" i="1"/>
  <c r="I475" i="18"/>
  <c r="AB27" i="1"/>
  <c r="I517" i="18"/>
  <c r="AB165" i="1"/>
  <c r="I471" i="18"/>
  <c r="AB38" i="1"/>
  <c r="I525" i="18"/>
  <c r="AB35" i="1"/>
  <c r="I523" i="18"/>
  <c r="AB34" i="1"/>
  <c r="I522" i="18"/>
  <c r="E78" i="12"/>
  <c r="AB3" i="3"/>
  <c r="M92" i="8" s="1"/>
  <c r="O5" i="12" s="1"/>
  <c r="M98" i="8"/>
  <c r="D40" i="12" s="1"/>
  <c r="I73" i="8"/>
  <c r="D118" i="10" s="1"/>
  <c r="AB119" i="2"/>
  <c r="M68" i="8" s="1"/>
  <c r="O9" i="10" s="1"/>
  <c r="D72" i="10" s="1"/>
  <c r="AB149" i="1"/>
  <c r="AB184" i="1"/>
  <c r="AB89" i="1"/>
  <c r="V130" i="2"/>
  <c r="T55" i="1"/>
  <c r="Z55" i="1" s="1"/>
  <c r="V102" i="1"/>
  <c r="I23" i="8" s="1"/>
  <c r="X102" i="1"/>
  <c r="D88" i="12"/>
  <c r="M6" i="7"/>
  <c r="E6" i="12"/>
  <c r="E33" i="12"/>
  <c r="K68" i="8"/>
  <c r="E74" i="10"/>
  <c r="V92" i="1"/>
  <c r="I21" i="8" s="1"/>
  <c r="X148" i="1"/>
  <c r="K35" i="8"/>
  <c r="E83" i="11" s="1"/>
  <c r="X160" i="1"/>
  <c r="V206" i="1"/>
  <c r="I44" i="8" s="1"/>
  <c r="X206" i="1"/>
  <c r="Z127" i="1"/>
  <c r="I440" i="18" s="1"/>
  <c r="V192" i="1"/>
  <c r="I40" i="8" s="1"/>
  <c r="V186" i="1"/>
  <c r="I39" i="8" s="1"/>
  <c r="V184" i="1"/>
  <c r="I38" i="8" s="1"/>
  <c r="V179" i="1"/>
  <c r="I37" i="8" s="1"/>
  <c r="H34" i="8"/>
  <c r="V172" i="1"/>
  <c r="X172" i="1"/>
  <c r="X187" i="1"/>
  <c r="X186" i="1" s="1"/>
  <c r="J32" i="1"/>
  <c r="E12" i="8" s="1"/>
  <c r="J39" i="1"/>
  <c r="E14" i="8" s="1"/>
  <c r="Z160" i="1"/>
  <c r="K32" i="8" s="1"/>
  <c r="E76" i="11" s="1"/>
  <c r="X180" i="1"/>
  <c r="X179" i="1" s="1"/>
  <c r="X143" i="1"/>
  <c r="V148" i="1"/>
  <c r="I30" i="8" s="1"/>
  <c r="E21" i="8"/>
  <c r="AB193" i="1"/>
  <c r="Z192" i="1"/>
  <c r="K40" i="8" s="1"/>
  <c r="E88" i="11" s="1"/>
  <c r="D128" i="11" s="1"/>
  <c r="T41" i="1"/>
  <c r="Z41" i="1" s="1"/>
  <c r="X200" i="1"/>
  <c r="X199" i="1" s="1"/>
  <c r="V199" i="1"/>
  <c r="I42" i="8" s="1"/>
  <c r="X192" i="1"/>
  <c r="L171" i="1"/>
  <c r="J36" i="1"/>
  <c r="E13" i="8" s="1"/>
  <c r="Z99" i="1"/>
  <c r="K22" i="8" s="1"/>
  <c r="E62" i="11" s="1"/>
  <c r="AB100" i="1"/>
  <c r="V160" i="1"/>
  <c r="I32" i="8" s="1"/>
  <c r="V143" i="1"/>
  <c r="I29" i="8" s="1"/>
  <c r="Z195" i="1"/>
  <c r="K41" i="8" s="1"/>
  <c r="E89" i="11" s="1"/>
  <c r="V195" i="1"/>
  <c r="I41" i="8" s="1"/>
  <c r="X196" i="1"/>
  <c r="X195" i="1" s="1"/>
  <c r="X204" i="1"/>
  <c r="X203" i="1" s="1"/>
  <c r="V203" i="1"/>
  <c r="I43" i="8" s="1"/>
  <c r="Z179" i="1"/>
  <c r="K37" i="8" s="1"/>
  <c r="E85" i="11" s="1"/>
  <c r="V175" i="1"/>
  <c r="I36" i="8" s="1"/>
  <c r="X176" i="1"/>
  <c r="X175" i="1" s="1"/>
  <c r="AB86" i="1"/>
  <c r="X106" i="1"/>
  <c r="X105" i="1" s="1"/>
  <c r="V105" i="1"/>
  <c r="I24" i="8" s="1"/>
  <c r="X209" i="1"/>
  <c r="X167" i="1"/>
  <c r="X166" i="1" s="1"/>
  <c r="X141" i="1"/>
  <c r="X140" i="1" s="1"/>
  <c r="V140" i="1"/>
  <c r="I28" i="8" s="1"/>
  <c r="V131" i="1"/>
  <c r="X131" i="1"/>
  <c r="X154" i="1"/>
  <c r="X153" i="1" s="1"/>
  <c r="V153" i="1"/>
  <c r="I31" i="8" s="1"/>
  <c r="X77" i="1"/>
  <c r="V77" i="1"/>
  <c r="I18" i="8" s="1"/>
  <c r="T73" i="1"/>
  <c r="Z73" i="1" s="1"/>
  <c r="V70" i="1"/>
  <c r="X70" i="1" s="1"/>
  <c r="T67" i="1"/>
  <c r="Z67" i="1" s="1"/>
  <c r="T62" i="1"/>
  <c r="T54" i="1"/>
  <c r="Z54" i="1" s="1"/>
  <c r="V52" i="1"/>
  <c r="I16" i="8" s="1"/>
  <c r="L52" i="1"/>
  <c r="H16" i="8" s="1"/>
  <c r="T51" i="1"/>
  <c r="V47" i="1"/>
  <c r="X47" i="1" s="1"/>
  <c r="T42" i="1"/>
  <c r="Z42" i="1" s="1"/>
  <c r="L39" i="1"/>
  <c r="H14" i="8" s="1"/>
  <c r="X7" i="2"/>
  <c r="X5" i="2" s="1"/>
  <c r="V5" i="2"/>
  <c r="I48" i="8" s="1"/>
  <c r="I47" i="8" s="1"/>
  <c r="D115" i="10" s="1"/>
  <c r="L32" i="1"/>
  <c r="H12" i="8" s="1"/>
  <c r="V99" i="1"/>
  <c r="I22" i="8" s="1"/>
  <c r="X99" i="1"/>
  <c r="X92" i="1"/>
  <c r="X37" i="1"/>
  <c r="T59" i="1"/>
  <c r="Z59" i="1" s="1"/>
  <c r="T66" i="1"/>
  <c r="Z66" i="1" s="1"/>
  <c r="AB66" i="1" s="1"/>
  <c r="T46" i="1"/>
  <c r="Z46" i="1" s="1"/>
  <c r="T33" i="1"/>
  <c r="Z33" i="1" s="1"/>
  <c r="I521" i="18" s="1"/>
  <c r="T37" i="1"/>
  <c r="Z37" i="1" s="1"/>
  <c r="I524" i="18" s="1"/>
  <c r="L36" i="1"/>
  <c r="H13" i="8" s="1"/>
  <c r="X34" i="1"/>
  <c r="X33" i="1"/>
  <c r="V45" i="1"/>
  <c r="V40" i="1"/>
  <c r="X48" i="1"/>
  <c r="T61" i="1"/>
  <c r="Z61" i="1" s="1"/>
  <c r="T69" i="1"/>
  <c r="Z69" i="1" s="1"/>
  <c r="T65" i="1"/>
  <c r="V38" i="1"/>
  <c r="X38" i="1" s="1"/>
  <c r="X43" i="1"/>
  <c r="Z45" i="1"/>
  <c r="T56" i="1"/>
  <c r="Z56" i="1" s="1"/>
  <c r="I540" i="18" s="1"/>
  <c r="T60" i="1"/>
  <c r="Z60" i="1" s="1"/>
  <c r="T68" i="1"/>
  <c r="T71" i="1"/>
  <c r="Z71" i="1" s="1"/>
  <c r="J52" i="1"/>
  <c r="E16" i="8" s="1"/>
  <c r="V50" i="1"/>
  <c r="X50" i="1" s="1"/>
  <c r="X35" i="1"/>
  <c r="Y27" i="1"/>
  <c r="X27" i="1"/>
  <c r="V28" i="1"/>
  <c r="X28" i="1" s="1"/>
  <c r="T29" i="1"/>
  <c r="Z29" i="1" s="1"/>
  <c r="T30" i="1"/>
  <c r="Z30" i="1" s="1"/>
  <c r="L30" i="1"/>
  <c r="L28" i="1"/>
  <c r="L29" i="1"/>
  <c r="L27" i="1"/>
  <c r="L24" i="1"/>
  <c r="L22" i="1"/>
  <c r="L21" i="1"/>
  <c r="L18" i="1"/>
  <c r="L19" i="1"/>
  <c r="L20" i="1"/>
  <c r="L14" i="1"/>
  <c r="L12" i="1" s="1"/>
  <c r="H7" i="8" s="1"/>
  <c r="L11" i="1"/>
  <c r="L9" i="1"/>
  <c r="K7" i="1"/>
  <c r="J28" i="1"/>
  <c r="J29" i="1"/>
  <c r="J30" i="1"/>
  <c r="J27" i="1"/>
  <c r="T25" i="1"/>
  <c r="T24" i="1"/>
  <c r="Z24" i="1" s="1"/>
  <c r="I515" i="18" s="1"/>
  <c r="J24" i="1"/>
  <c r="V22" i="1"/>
  <c r="X22" i="1" s="1"/>
  <c r="T21" i="1"/>
  <c r="Z21" i="1" s="1"/>
  <c r="T20" i="1"/>
  <c r="T19" i="1"/>
  <c r="Z19" i="1" s="1"/>
  <c r="V18" i="1"/>
  <c r="X18" i="1" s="1"/>
  <c r="J18" i="1"/>
  <c r="J19" i="1"/>
  <c r="J20" i="1"/>
  <c r="J21" i="1"/>
  <c r="J22" i="1"/>
  <c r="T14" i="1"/>
  <c r="Z14" i="1" s="1"/>
  <c r="Z12" i="1" s="1"/>
  <c r="J14" i="1"/>
  <c r="W6" i="1"/>
  <c r="X8" i="1"/>
  <c r="U9" i="1"/>
  <c r="W9" i="1" s="1"/>
  <c r="Z6" i="1"/>
  <c r="Y6" i="1"/>
  <c r="K14" i="1"/>
  <c r="K12" i="1" s="1"/>
  <c r="T11" i="1"/>
  <c r="Z11" i="1" s="1"/>
  <c r="T9" i="1"/>
  <c r="Z9" i="1" s="1"/>
  <c r="T10" i="1"/>
  <c r="L8" i="1"/>
  <c r="K6" i="1"/>
  <c r="J8" i="1"/>
  <c r="J9" i="1"/>
  <c r="J11" i="1"/>
  <c r="I500" i="18" l="1"/>
  <c r="Z52" i="1"/>
  <c r="I507" i="18"/>
  <c r="E9" i="10"/>
  <c r="V171" i="1"/>
  <c r="I45" i="8"/>
  <c r="I531" i="18"/>
  <c r="AB46" i="1"/>
  <c r="I538" i="18"/>
  <c r="AB54" i="1"/>
  <c r="AB206" i="1"/>
  <c r="M44" i="8" s="1"/>
  <c r="D92" i="11" s="1"/>
  <c r="AB160" i="1"/>
  <c r="M32" i="8" s="1"/>
  <c r="D76" i="11" s="1"/>
  <c r="AB186" i="1"/>
  <c r="M39" i="8" s="1"/>
  <c r="D87" i="11" s="1"/>
  <c r="AB175" i="1"/>
  <c r="M36" i="8" s="1"/>
  <c r="D84" i="11" s="1"/>
  <c r="AB87" i="1"/>
  <c r="M19" i="8" s="1"/>
  <c r="D56" i="11" s="1"/>
  <c r="AB9" i="1"/>
  <c r="I503" i="18"/>
  <c r="AB19" i="1"/>
  <c r="I511" i="18"/>
  <c r="AB20" i="1"/>
  <c r="I512" i="18"/>
  <c r="AB71" i="1"/>
  <c r="I392" i="18"/>
  <c r="AB69" i="1"/>
  <c r="I390" i="18"/>
  <c r="AB41" i="1"/>
  <c r="I527" i="18"/>
  <c r="AB179" i="1"/>
  <c r="M37" i="8" s="1"/>
  <c r="D85" i="11" s="1"/>
  <c r="AB5" i="2"/>
  <c r="M48" i="8" s="1"/>
  <c r="AB11" i="1"/>
  <c r="I505" i="18"/>
  <c r="AB21" i="1"/>
  <c r="I513" i="18"/>
  <c r="AB73" i="1"/>
  <c r="I394" i="18"/>
  <c r="Z68" i="1"/>
  <c r="AB67" i="1"/>
  <c r="I388" i="18"/>
  <c r="I387" i="18"/>
  <c r="AB61" i="1"/>
  <c r="I382" i="18"/>
  <c r="AB60" i="1"/>
  <c r="I381" i="18"/>
  <c r="I542" i="18"/>
  <c r="AB55" i="1"/>
  <c r="I539" i="18"/>
  <c r="I530" i="18"/>
  <c r="AB42" i="1"/>
  <c r="I528" i="18"/>
  <c r="K39" i="8"/>
  <c r="E87" i="11" s="1"/>
  <c r="AB30" i="1"/>
  <c r="I520" i="18"/>
  <c r="AB29" i="1"/>
  <c r="I519" i="18"/>
  <c r="R6" i="7"/>
  <c r="AB99" i="1"/>
  <c r="M22" i="8" s="1"/>
  <c r="D62" i="11" s="1"/>
  <c r="M38" i="8"/>
  <c r="D86" i="11" s="1"/>
  <c r="AB192" i="1"/>
  <c r="AB6" i="1"/>
  <c r="AB14" i="1"/>
  <c r="L5" i="1"/>
  <c r="H6" i="8" s="1"/>
  <c r="E72" i="10"/>
  <c r="E8" i="10"/>
  <c r="V91" i="1"/>
  <c r="I20" i="8"/>
  <c r="D100" i="11" s="1"/>
  <c r="I35" i="8"/>
  <c r="I27" i="8"/>
  <c r="I26" i="8" s="1"/>
  <c r="D101" i="11" s="1"/>
  <c r="V130" i="1"/>
  <c r="Z17" i="1"/>
  <c r="I509" i="18" s="1"/>
  <c r="X17" i="1"/>
  <c r="X20" i="1"/>
  <c r="AB127" i="1"/>
  <c r="K36" i="8"/>
  <c r="Z36" i="1"/>
  <c r="K13" i="8" s="1"/>
  <c r="E50" i="11" s="1"/>
  <c r="AB37" i="1"/>
  <c r="AB56" i="1"/>
  <c r="X53" i="1"/>
  <c r="X52" i="1" s="1"/>
  <c r="X171" i="1"/>
  <c r="H171" i="1" s="1"/>
  <c r="J16" i="1"/>
  <c r="X91" i="1"/>
  <c r="H91" i="1" s="1"/>
  <c r="L23" i="1"/>
  <c r="H9" i="8" s="1"/>
  <c r="Z32" i="1"/>
  <c r="K12" i="8" s="1"/>
  <c r="E49" i="11" s="1"/>
  <c r="AB33" i="1"/>
  <c r="AB32" i="1" s="1"/>
  <c r="Z23" i="1"/>
  <c r="K9" i="8" s="1"/>
  <c r="E36" i="11" s="1"/>
  <c r="AB24" i="1"/>
  <c r="AB45" i="1"/>
  <c r="V24" i="1"/>
  <c r="Z39" i="1"/>
  <c r="K14" i="8" s="1"/>
  <c r="E51" i="11" s="1"/>
  <c r="V36" i="1"/>
  <c r="I13" i="8" s="1"/>
  <c r="X36" i="1"/>
  <c r="X130" i="1"/>
  <c r="H130" i="1" s="1"/>
  <c r="J5" i="1"/>
  <c r="E6" i="8" s="1"/>
  <c r="X4" i="2"/>
  <c r="V4" i="2"/>
  <c r="V3" i="2" s="1"/>
  <c r="I46" i="8" s="1"/>
  <c r="K48" i="8"/>
  <c r="E38" i="10" s="1"/>
  <c r="J26" i="1"/>
  <c r="V32" i="1"/>
  <c r="I12" i="8" s="1"/>
  <c r="T22" i="1"/>
  <c r="J23" i="1"/>
  <c r="E9" i="8" s="1"/>
  <c r="T28" i="1"/>
  <c r="Z28" i="1" s="1"/>
  <c r="I518" i="18" s="1"/>
  <c r="J12" i="1"/>
  <c r="E7" i="8" s="1"/>
  <c r="V21" i="1"/>
  <c r="X21" i="1" s="1"/>
  <c r="L26" i="1"/>
  <c r="H10" i="8" s="1"/>
  <c r="X45" i="1"/>
  <c r="X44" i="1" s="1"/>
  <c r="V44" i="1"/>
  <c r="I15" i="8" s="1"/>
  <c r="T18" i="1"/>
  <c r="Z18" i="1" s="1"/>
  <c r="T15" i="1"/>
  <c r="V19" i="1"/>
  <c r="X19" i="1" s="1"/>
  <c r="X30" i="1"/>
  <c r="X32" i="1"/>
  <c r="X29" i="1"/>
  <c r="V14" i="1"/>
  <c r="X58" i="1"/>
  <c r="X57" i="1" s="1"/>
  <c r="V57" i="1"/>
  <c r="I17" i="8" s="1"/>
  <c r="V39" i="1"/>
  <c r="I14" i="8" s="1"/>
  <c r="X40" i="1"/>
  <c r="X39" i="1" s="1"/>
  <c r="L16" i="1"/>
  <c r="H8" i="8" s="1"/>
  <c r="V11" i="1"/>
  <c r="X11" i="1" s="1"/>
  <c r="V9" i="1"/>
  <c r="X10" i="1"/>
  <c r="T8" i="1"/>
  <c r="Z8" i="1" s="1"/>
  <c r="T7" i="1"/>
  <c r="Z7" i="1" s="1"/>
  <c r="Z5" i="1" l="1"/>
  <c r="V5" i="1"/>
  <c r="I6" i="8" s="1"/>
  <c r="I34" i="8"/>
  <c r="D102" i="11" s="1"/>
  <c r="AB52" i="1"/>
  <c r="M16" i="8" s="1"/>
  <c r="D53" i="11" s="1"/>
  <c r="AB171" i="1"/>
  <c r="M34" i="8" s="1"/>
  <c r="S10" i="11" s="1"/>
  <c r="D82" i="11" s="1"/>
  <c r="AB39" i="1"/>
  <c r="M14" i="8" s="1"/>
  <c r="D51" i="11" s="1"/>
  <c r="AB18" i="1"/>
  <c r="I510" i="18"/>
  <c r="AB22" i="1"/>
  <c r="I514" i="18"/>
  <c r="I389" i="18"/>
  <c r="AB68" i="1"/>
  <c r="AB15" i="1"/>
  <c r="AB12" i="1" s="1"/>
  <c r="M7" i="8" s="1"/>
  <c r="D34" i="11" s="1"/>
  <c r="I508" i="18"/>
  <c r="AB8" i="1"/>
  <c r="I502" i="18"/>
  <c r="I501" i="18"/>
  <c r="AB23" i="1"/>
  <c r="M9" i="8" s="1"/>
  <c r="D36" i="11" s="1"/>
  <c r="AB125" i="1"/>
  <c r="M25" i="8" s="1"/>
  <c r="D65" i="11" s="1"/>
  <c r="AB17" i="1"/>
  <c r="Z16" i="1"/>
  <c r="K8" i="8" s="1"/>
  <c r="E35" i="11" s="1"/>
  <c r="AB36" i="1"/>
  <c r="M13" i="8" s="1"/>
  <c r="D50" i="11" s="1"/>
  <c r="M40" i="8"/>
  <c r="D88" i="11" s="1"/>
  <c r="K7" i="8"/>
  <c r="E34" i="11" s="1"/>
  <c r="E84" i="11"/>
  <c r="D114" i="10"/>
  <c r="M5" i="7"/>
  <c r="D38" i="10"/>
  <c r="I11" i="8"/>
  <c r="D99" i="11" s="1"/>
  <c r="H4" i="2"/>
  <c r="X3" i="2" s="1"/>
  <c r="H5" i="8"/>
  <c r="X9" i="1"/>
  <c r="X5" i="1" s="1"/>
  <c r="E8" i="8"/>
  <c r="J4" i="1"/>
  <c r="X24" i="1"/>
  <c r="X23" i="1" s="1"/>
  <c r="V23" i="1"/>
  <c r="I9" i="8" s="1"/>
  <c r="AB7" i="1"/>
  <c r="X14" i="1"/>
  <c r="X12" i="1" s="1"/>
  <c r="V12" i="1"/>
  <c r="I7" i="8" s="1"/>
  <c r="Z26" i="1"/>
  <c r="K10" i="8" s="1"/>
  <c r="E37" i="11" s="1"/>
  <c r="AB28" i="1"/>
  <c r="M12" i="8"/>
  <c r="X26" i="1"/>
  <c r="E10" i="8"/>
  <c r="V26" i="1"/>
  <c r="I10" i="8" s="1"/>
  <c r="V31" i="1"/>
  <c r="X31" i="1"/>
  <c r="H31" i="1" s="1"/>
  <c r="L4" i="1"/>
  <c r="X16" i="1"/>
  <c r="V16" i="1"/>
  <c r="I8" i="8" s="1"/>
  <c r="AB5" i="1" l="1"/>
  <c r="M6" i="8" s="1"/>
  <c r="AB16" i="1"/>
  <c r="M8" i="8" s="1"/>
  <c r="D35" i="11" s="1"/>
  <c r="AB26" i="1"/>
  <c r="K6" i="8"/>
  <c r="E33" i="11" s="1"/>
  <c r="Z4" i="1"/>
  <c r="D49" i="11"/>
  <c r="I5" i="8"/>
  <c r="D98" i="11" s="1"/>
  <c r="X4" i="1"/>
  <c r="H4" i="1" s="1"/>
  <c r="X3" i="1" s="1"/>
  <c r="E5" i="8"/>
  <c r="V4" i="1"/>
  <c r="V3" i="1" s="1"/>
  <c r="I4" i="8" s="1"/>
  <c r="F100" i="2"/>
  <c r="Y97" i="2"/>
  <c r="AA97" i="2" s="1"/>
  <c r="W97" i="2"/>
  <c r="K97" i="2"/>
  <c r="I97" i="2"/>
  <c r="W96" i="2"/>
  <c r="AB4" i="1" l="1"/>
  <c r="M5" i="8" s="1"/>
  <c r="S6" i="11" s="1"/>
  <c r="D32" i="11" s="1"/>
  <c r="M10" i="8"/>
  <c r="D37" i="11" s="1"/>
  <c r="K5" i="8"/>
  <c r="E6" i="11" s="1"/>
  <c r="D33" i="11"/>
  <c r="I3" i="8"/>
  <c r="M3" i="7" s="1"/>
  <c r="M4" i="7"/>
  <c r="D97" i="11"/>
  <c r="J100" i="2"/>
  <c r="J92" i="2" s="1"/>
  <c r="L100" i="2"/>
  <c r="L92" i="2" s="1"/>
  <c r="C63" i="13"/>
  <c r="U52" i="4"/>
  <c r="W52" i="4" s="1"/>
  <c r="W50" i="4" s="1"/>
  <c r="K52" i="4"/>
  <c r="K50" i="4" s="1"/>
  <c r="I52" i="4"/>
  <c r="I50" i="4" s="1"/>
  <c r="E32" i="11" l="1"/>
  <c r="E12" i="9"/>
  <c r="L91" i="2"/>
  <c r="H65" i="8"/>
  <c r="H64" i="8" s="1"/>
  <c r="J91" i="2"/>
  <c r="E65" i="8"/>
  <c r="E64" i="8" s="1"/>
  <c r="U50" i="4"/>
  <c r="U97" i="3"/>
  <c r="Y89" i="2" l="1"/>
  <c r="U49" i="4" l="1"/>
  <c r="W49" i="4" s="1"/>
  <c r="I142" i="4" l="1"/>
  <c r="K31" i="4"/>
  <c r="K27" i="4" s="1"/>
  <c r="I31" i="4"/>
  <c r="I27" i="4" s="1"/>
  <c r="Y169" i="2" l="1"/>
  <c r="U171" i="2"/>
  <c r="F17" i="1" l="1"/>
  <c r="K17" i="1" l="1"/>
  <c r="Y17" i="1"/>
  <c r="Y103" i="1"/>
  <c r="Y102" i="1" s="1"/>
  <c r="U103" i="1"/>
  <c r="I101" i="1"/>
  <c r="Y100" i="1"/>
  <c r="AA100" i="1" s="1"/>
  <c r="AA17" i="1" l="1"/>
  <c r="U173" i="2"/>
  <c r="Y11" i="1" l="1"/>
  <c r="AA11" i="1" s="1"/>
  <c r="U11" i="1"/>
  <c r="W11" i="1" s="1"/>
  <c r="K11" i="1"/>
  <c r="I11" i="1"/>
  <c r="Y47" i="3" l="1"/>
  <c r="AA47" i="3" s="1"/>
  <c r="W47" i="3"/>
  <c r="K47" i="3"/>
  <c r="I47" i="3"/>
  <c r="C35" i="12"/>
  <c r="K9" i="3"/>
  <c r="Y14" i="3"/>
  <c r="AA14" i="3" s="1"/>
  <c r="U14" i="3"/>
  <c r="W14" i="3" s="1"/>
  <c r="K14" i="3"/>
  <c r="I14" i="3"/>
  <c r="Y13" i="3"/>
  <c r="AA13" i="3" s="1"/>
  <c r="U13" i="3"/>
  <c r="W13" i="3" s="1"/>
  <c r="K13" i="3"/>
  <c r="I13" i="3"/>
  <c r="Y12" i="3"/>
  <c r="U12" i="3"/>
  <c r="W12" i="3" s="1"/>
  <c r="K12" i="3"/>
  <c r="I12" i="3"/>
  <c r="U10" i="3"/>
  <c r="C101" i="15"/>
  <c r="Y141" i="5"/>
  <c r="AA141" i="5" s="1"/>
  <c r="U141" i="5"/>
  <c r="W141" i="5" s="1"/>
  <c r="K141" i="5"/>
  <c r="I141" i="5"/>
  <c r="Y140" i="5"/>
  <c r="U140" i="5"/>
  <c r="W140" i="5" s="1"/>
  <c r="K140" i="5"/>
  <c r="I140" i="5"/>
  <c r="K138" i="5"/>
  <c r="K50" i="5"/>
  <c r="K51" i="5"/>
  <c r="I11" i="3" l="1"/>
  <c r="K11" i="3"/>
  <c r="W139" i="5"/>
  <c r="I139" i="5"/>
  <c r="AA140" i="5"/>
  <c r="AA139" i="5" s="1"/>
  <c r="Y139" i="5"/>
  <c r="W11" i="3"/>
  <c r="AA12" i="3"/>
  <c r="AA11" i="3" s="1"/>
  <c r="Y11" i="3"/>
  <c r="K139" i="5"/>
  <c r="U139" i="5"/>
  <c r="U11" i="3"/>
  <c r="I176" i="1"/>
  <c r="W132" i="2" l="1"/>
  <c r="K49" i="4" l="1"/>
  <c r="I49" i="4"/>
  <c r="Y88" i="2" l="1"/>
  <c r="U130" i="3"/>
  <c r="U35" i="2" l="1"/>
  <c r="Y38" i="2"/>
  <c r="Y30" i="2"/>
  <c r="W95" i="5" l="1"/>
  <c r="Y87" i="5"/>
  <c r="U87" i="5"/>
  <c r="W87" i="5" s="1"/>
  <c r="K87" i="5"/>
  <c r="I87" i="5"/>
  <c r="AA87" i="5" l="1"/>
  <c r="W63" i="2"/>
  <c r="Y63" i="2"/>
  <c r="AA63" i="2" s="1"/>
  <c r="Y53" i="2"/>
  <c r="W54" i="2"/>
  <c r="Y54" i="2"/>
  <c r="AA54" i="2" s="1"/>
  <c r="Y55" i="2"/>
  <c r="AA55" i="2" s="1"/>
  <c r="W53" i="2"/>
  <c r="Y48" i="2"/>
  <c r="Y42" i="2"/>
  <c r="AA42" i="2" s="1"/>
  <c r="U42" i="2"/>
  <c r="W42" i="2" s="1"/>
  <c r="AA38" i="2"/>
  <c r="U38" i="2"/>
  <c r="W38" i="2" s="1"/>
  <c r="Y37" i="2"/>
  <c r="AA37" i="2" s="1"/>
  <c r="U37" i="2"/>
  <c r="W37" i="2" s="1"/>
  <c r="I37" i="2"/>
  <c r="K37" i="2"/>
  <c r="I38" i="2"/>
  <c r="K38" i="2"/>
  <c r="Y52" i="2" l="1"/>
  <c r="AA53" i="2"/>
  <c r="U23" i="6"/>
  <c r="U22" i="6" s="1"/>
  <c r="Y23" i="6"/>
  <c r="K23" i="6"/>
  <c r="K22" i="6" s="1"/>
  <c r="I23" i="6"/>
  <c r="I22" i="6" s="1"/>
  <c r="AA23" i="6" l="1"/>
  <c r="AA22" i="6" s="1"/>
  <c r="Y22" i="6"/>
  <c r="Z22" i="6" s="1"/>
  <c r="W23" i="6"/>
  <c r="W22" i="6" s="1"/>
  <c r="K202" i="8" l="1"/>
  <c r="E44" i="17" s="1"/>
  <c r="U111" i="1"/>
  <c r="W111" i="1" s="1"/>
  <c r="W101" i="1"/>
  <c r="W100" i="1"/>
  <c r="Y93" i="1"/>
  <c r="Z93" i="1" s="1"/>
  <c r="I410" i="18" l="1"/>
  <c r="W99" i="1"/>
  <c r="AA93" i="1"/>
  <c r="C66" i="12"/>
  <c r="AB93" i="1" l="1"/>
  <c r="K90" i="3"/>
  <c r="K87" i="3"/>
  <c r="Y97" i="3"/>
  <c r="Y96" i="3" s="1"/>
  <c r="W97" i="3"/>
  <c r="W96" i="3" s="1"/>
  <c r="K97" i="3"/>
  <c r="K96" i="3" s="1"/>
  <c r="I97" i="3"/>
  <c r="I96" i="3" s="1"/>
  <c r="AA97" i="3" l="1"/>
  <c r="AA96" i="3" s="1"/>
  <c r="U96" i="3"/>
  <c r="Y199" i="2"/>
  <c r="U79" i="5" l="1"/>
  <c r="U111" i="4" l="1"/>
  <c r="W111" i="4" s="1"/>
  <c r="U120" i="4"/>
  <c r="W120" i="4" s="1"/>
  <c r="Y114" i="5" l="1"/>
  <c r="AA114" i="5" s="1"/>
  <c r="W114" i="5"/>
  <c r="U6" i="4"/>
  <c r="W6" i="4" s="1"/>
  <c r="W210" i="1" l="1"/>
  <c r="U136" i="2" l="1"/>
  <c r="W136" i="2" s="1"/>
  <c r="U135" i="2"/>
  <c r="W135" i="2" s="1"/>
  <c r="Y135" i="2"/>
  <c r="AA135" i="2" s="1"/>
  <c r="I135" i="2"/>
  <c r="K135" i="2"/>
  <c r="Y136" i="2"/>
  <c r="AA136" i="2" s="1"/>
  <c r="W74" i="2" l="1"/>
  <c r="U72" i="2"/>
  <c r="Y59" i="2"/>
  <c r="AA59" i="2" s="1"/>
  <c r="U59" i="2"/>
  <c r="W59" i="2" s="1"/>
  <c r="Y31" i="2"/>
  <c r="AA30" i="2"/>
  <c r="W30" i="2"/>
  <c r="Y33" i="2"/>
  <c r="AA33" i="2" s="1"/>
  <c r="U33" i="2"/>
  <c r="W33" i="2" s="1"/>
  <c r="Y32" i="2"/>
  <c r="AA32" i="2" s="1"/>
  <c r="W32" i="2"/>
  <c r="K24" i="2"/>
  <c r="Y51" i="3" l="1"/>
  <c r="AA51" i="3" s="1"/>
  <c r="W51" i="3"/>
  <c r="K51" i="3"/>
  <c r="I51" i="3"/>
  <c r="Y49" i="3"/>
  <c r="AA49" i="3" s="1"/>
  <c r="W49" i="3"/>
  <c r="I49" i="3"/>
  <c r="K49" i="3"/>
  <c r="Y48" i="3"/>
  <c r="AA48" i="3" s="1"/>
  <c r="W48" i="3"/>
  <c r="K48" i="3"/>
  <c r="I48" i="3"/>
  <c r="U31" i="3"/>
  <c r="K31" i="3"/>
  <c r="K28" i="3" s="1"/>
  <c r="I31" i="3"/>
  <c r="I28" i="3" s="1"/>
  <c r="AA19" i="3"/>
  <c r="W19" i="3"/>
  <c r="K19" i="3"/>
  <c r="I19" i="3"/>
  <c r="Y10" i="3"/>
  <c r="AA10" i="3" s="1"/>
  <c r="W10" i="3"/>
  <c r="K10" i="3"/>
  <c r="I10" i="3"/>
  <c r="Y8" i="3"/>
  <c r="AA8" i="3" s="1"/>
  <c r="U8" i="3"/>
  <c r="W8" i="3" s="1"/>
  <c r="K8" i="3"/>
  <c r="I8" i="3"/>
  <c r="W31" i="3" l="1"/>
  <c r="W28" i="3" s="1"/>
  <c r="U28" i="3"/>
  <c r="U72" i="4"/>
  <c r="W72" i="4" s="1"/>
  <c r="W69" i="4" s="1"/>
  <c r="K72" i="4"/>
  <c r="I72" i="4"/>
  <c r="G70" i="4"/>
  <c r="U153" i="4" l="1"/>
  <c r="W153" i="4" s="1"/>
  <c r="K153" i="4"/>
  <c r="I153" i="4"/>
  <c r="Y21" i="5"/>
  <c r="AA21" i="5" s="1"/>
  <c r="U21" i="5"/>
  <c r="W21" i="5" s="1"/>
  <c r="K21" i="5"/>
  <c r="I21" i="5"/>
  <c r="U56" i="4"/>
  <c r="W56" i="4" s="1"/>
  <c r="K56" i="4"/>
  <c r="I56" i="4"/>
  <c r="I55" i="4"/>
  <c r="K55" i="4"/>
  <c r="Y46" i="5" l="1"/>
  <c r="I116" i="4"/>
  <c r="I113" i="4"/>
  <c r="I114" i="4"/>
  <c r="I115" i="4"/>
  <c r="I118" i="4"/>
  <c r="Y61" i="2" l="1"/>
  <c r="Y64" i="2"/>
  <c r="AA64" i="2" s="1"/>
  <c r="U64" i="2"/>
  <c r="W64" i="2" s="1"/>
  <c r="AA48" i="2"/>
  <c r="W48" i="2"/>
  <c r="K48" i="2"/>
  <c r="I48" i="2"/>
  <c r="K13" i="2"/>
  <c r="U108" i="1" l="1"/>
  <c r="Y89" i="3" l="1"/>
  <c r="Y43" i="1" l="1"/>
  <c r="F62" i="1" l="1"/>
  <c r="K62" i="1" l="1"/>
  <c r="J62" i="1"/>
  <c r="J57" i="1" s="1"/>
  <c r="E17" i="8" s="1"/>
  <c r="L62" i="1"/>
  <c r="L57" i="1" s="1"/>
  <c r="H17" i="8" s="1"/>
  <c r="Z62" i="1"/>
  <c r="Z57" i="1" s="1"/>
  <c r="W123" i="2"/>
  <c r="I383" i="18" l="1"/>
  <c r="K17" i="8"/>
  <c r="E54" i="11" s="1"/>
  <c r="AB62" i="1"/>
  <c r="C57" i="13"/>
  <c r="AB57" i="1" l="1"/>
  <c r="M17" i="8" s="1"/>
  <c r="D54" i="11" s="1"/>
  <c r="F76" i="4"/>
  <c r="J76" i="4" l="1"/>
  <c r="J73" i="4" s="1"/>
  <c r="L76" i="4"/>
  <c r="L73" i="4" s="1"/>
  <c r="Z76" i="4"/>
  <c r="I163" i="18" s="1"/>
  <c r="Y76" i="4"/>
  <c r="I104" i="4"/>
  <c r="H140" i="8" l="1"/>
  <c r="H136" i="8" s="1"/>
  <c r="L60" i="4"/>
  <c r="AA76" i="4"/>
  <c r="AA73" i="4" s="1"/>
  <c r="AA60" i="4" s="1"/>
  <c r="Y73" i="4"/>
  <c r="Y60" i="4" s="1"/>
  <c r="AB76" i="4"/>
  <c r="AB73" i="4" s="1"/>
  <c r="AB60" i="4" s="1"/>
  <c r="M136" i="8" s="1"/>
  <c r="Z73" i="4"/>
  <c r="E140" i="8"/>
  <c r="E136" i="8" s="1"/>
  <c r="J60" i="4"/>
  <c r="C53" i="17"/>
  <c r="C54" i="17"/>
  <c r="C55" i="17"/>
  <c r="C43" i="17"/>
  <c r="C45" i="17"/>
  <c r="L171" i="8"/>
  <c r="C100" i="15"/>
  <c r="C96" i="15"/>
  <c r="C97" i="15"/>
  <c r="C98" i="15"/>
  <c r="C99" i="15"/>
  <c r="C91" i="15"/>
  <c r="C88" i="15"/>
  <c r="C89" i="15"/>
  <c r="C90" i="15"/>
  <c r="C75" i="15"/>
  <c r="C76" i="15"/>
  <c r="C77" i="15"/>
  <c r="C78" i="15"/>
  <c r="C79" i="15"/>
  <c r="C87" i="15"/>
  <c r="C69" i="15"/>
  <c r="C64" i="15"/>
  <c r="C57" i="15"/>
  <c r="C58" i="15"/>
  <c r="C59" i="15"/>
  <c r="C60" i="15"/>
  <c r="C62" i="15"/>
  <c r="C47" i="15"/>
  <c r="C49" i="15"/>
  <c r="C105" i="13"/>
  <c r="C106" i="13"/>
  <c r="C107" i="13"/>
  <c r="C108" i="13"/>
  <c r="C98" i="13"/>
  <c r="C99" i="13"/>
  <c r="C96" i="13"/>
  <c r="C97" i="13"/>
  <c r="C84" i="13"/>
  <c r="C85" i="13"/>
  <c r="C86" i="13"/>
  <c r="C72" i="13"/>
  <c r="C73" i="13"/>
  <c r="C74" i="13"/>
  <c r="C75" i="13"/>
  <c r="C76" i="13"/>
  <c r="C77" i="13"/>
  <c r="C61" i="13"/>
  <c r="C62" i="13"/>
  <c r="C64" i="13"/>
  <c r="C65" i="13"/>
  <c r="C56" i="13"/>
  <c r="C48" i="13"/>
  <c r="C49" i="13"/>
  <c r="C79" i="12"/>
  <c r="C80" i="12"/>
  <c r="C70" i="12"/>
  <c r="C71" i="12"/>
  <c r="C72" i="12"/>
  <c r="C62" i="12"/>
  <c r="C54" i="12"/>
  <c r="C55" i="12"/>
  <c r="C57" i="12"/>
  <c r="C46" i="12"/>
  <c r="C47" i="12"/>
  <c r="C48" i="12"/>
  <c r="C40" i="12"/>
  <c r="C41" i="12"/>
  <c r="C42" i="12"/>
  <c r="C39" i="12"/>
  <c r="C34" i="12"/>
  <c r="C104" i="10"/>
  <c r="C105" i="10"/>
  <c r="C106" i="10"/>
  <c r="C93" i="10"/>
  <c r="C94" i="10"/>
  <c r="C95" i="10"/>
  <c r="C96" i="10"/>
  <c r="C97" i="10"/>
  <c r="C98" i="10"/>
  <c r="C99" i="10"/>
  <c r="C82" i="10"/>
  <c r="C83" i="10"/>
  <c r="C84" i="10"/>
  <c r="C85" i="10"/>
  <c r="C86" i="10"/>
  <c r="C73" i="10"/>
  <c r="C74" i="10"/>
  <c r="C75" i="10"/>
  <c r="C76" i="10"/>
  <c r="C58" i="10"/>
  <c r="C59" i="10"/>
  <c r="C60" i="10"/>
  <c r="C39" i="10"/>
  <c r="C40" i="10"/>
  <c r="C41" i="10"/>
  <c r="C42" i="10"/>
  <c r="C43" i="10"/>
  <c r="C44" i="10"/>
  <c r="C45" i="10"/>
  <c r="C47" i="10"/>
  <c r="C48" i="10"/>
  <c r="C49" i="10"/>
  <c r="C50" i="10"/>
  <c r="C51" i="10"/>
  <c r="C52" i="10"/>
  <c r="C53" i="10"/>
  <c r="C38" i="10"/>
  <c r="C93" i="11"/>
  <c r="C92" i="11"/>
  <c r="C91" i="11"/>
  <c r="C90" i="11"/>
  <c r="C89" i="11"/>
  <c r="C88" i="11"/>
  <c r="C87" i="11"/>
  <c r="C86" i="11"/>
  <c r="C85" i="11"/>
  <c r="C84" i="11"/>
  <c r="C83" i="11"/>
  <c r="C76" i="11"/>
  <c r="C75" i="11"/>
  <c r="C74" i="11"/>
  <c r="C73" i="11"/>
  <c r="C72" i="11"/>
  <c r="C71" i="11"/>
  <c r="C65" i="11"/>
  <c r="C64" i="11"/>
  <c r="C63" i="11"/>
  <c r="C62" i="11"/>
  <c r="K140" i="8" l="1"/>
  <c r="Z60" i="4"/>
  <c r="M140" i="8"/>
  <c r="W169" i="2"/>
  <c r="AA169" i="2"/>
  <c r="I169" i="2"/>
  <c r="K169" i="2"/>
  <c r="D75" i="13" l="1"/>
  <c r="P10" i="13"/>
  <c r="D71" i="13" s="1"/>
  <c r="E75" i="13"/>
  <c r="K136" i="8"/>
  <c r="I90" i="1"/>
  <c r="K90" i="1"/>
  <c r="U90" i="1"/>
  <c r="W90" i="1" s="1"/>
  <c r="Y90" i="1"/>
  <c r="AA90" i="1" s="1"/>
  <c r="F51" i="1"/>
  <c r="E9" i="13" l="1"/>
  <c r="E71" i="13"/>
  <c r="J51" i="1"/>
  <c r="J44" i="1" s="1"/>
  <c r="L51" i="1"/>
  <c r="L44" i="1" s="1"/>
  <c r="H15" i="8" s="1"/>
  <c r="Y8" i="1"/>
  <c r="U8" i="1"/>
  <c r="W8" i="1" s="1"/>
  <c r="U10" i="5"/>
  <c r="U11" i="5"/>
  <c r="K13" i="5"/>
  <c r="U131" i="4"/>
  <c r="W131" i="4" s="1"/>
  <c r="G143" i="4"/>
  <c r="E15" i="8" l="1"/>
  <c r="AA6" i="1"/>
  <c r="U87" i="3"/>
  <c r="W87" i="3" s="1"/>
  <c r="Y87" i="3"/>
  <c r="AA87" i="3" l="1"/>
  <c r="F39" i="4"/>
  <c r="F200" i="2"/>
  <c r="L200" i="2" l="1"/>
  <c r="L198" i="2" s="1"/>
  <c r="J200" i="2"/>
  <c r="J198" i="2" s="1"/>
  <c r="Z200" i="2"/>
  <c r="I695" i="18" s="1"/>
  <c r="L39" i="4"/>
  <c r="L38" i="4" s="1"/>
  <c r="J39" i="4"/>
  <c r="J38" i="4" s="1"/>
  <c r="Z39" i="4"/>
  <c r="Z38" i="4" s="1"/>
  <c r="Y39" i="4"/>
  <c r="K200" i="2"/>
  <c r="Y200" i="2"/>
  <c r="Y7" i="1"/>
  <c r="U147" i="1"/>
  <c r="W147" i="1" s="1"/>
  <c r="Y147" i="1"/>
  <c r="AA147" i="1" s="1"/>
  <c r="I147" i="1"/>
  <c r="K147" i="1"/>
  <c r="U132" i="1"/>
  <c r="F134" i="1"/>
  <c r="Y173" i="1"/>
  <c r="Y172" i="1" s="1"/>
  <c r="K173" i="1"/>
  <c r="I173" i="1"/>
  <c r="K180" i="1"/>
  <c r="I183" i="1"/>
  <c r="I135" i="18" l="1"/>
  <c r="E131" i="8"/>
  <c r="E130" i="8" s="1"/>
  <c r="J37" i="4"/>
  <c r="J3" i="4" s="1"/>
  <c r="E123" i="8" s="1"/>
  <c r="AA39" i="4"/>
  <c r="AA38" i="4" s="1"/>
  <c r="AA37" i="4" s="1"/>
  <c r="AA3" i="4" s="1"/>
  <c r="Y38" i="4"/>
  <c r="J134" i="1"/>
  <c r="J131" i="1" s="1"/>
  <c r="L134" i="1"/>
  <c r="L131" i="1" s="1"/>
  <c r="H131" i="8"/>
  <c r="H130" i="8" s="1"/>
  <c r="L37" i="4"/>
  <c r="L3" i="4" s="1"/>
  <c r="H123" i="8" s="1"/>
  <c r="E90" i="8"/>
  <c r="E88" i="8" s="1"/>
  <c r="J192" i="2"/>
  <c r="AB39" i="4"/>
  <c r="AB38" i="4" s="1"/>
  <c r="AB37" i="4" s="1"/>
  <c r="AB3" i="4" s="1"/>
  <c r="AB200" i="2"/>
  <c r="AB198" i="2" s="1"/>
  <c r="AB192" i="2" s="1"/>
  <c r="M88" i="8" s="1"/>
  <c r="Z198" i="2"/>
  <c r="H90" i="8"/>
  <c r="H88" i="8" s="1"/>
  <c r="L192" i="2"/>
  <c r="G61" i="1"/>
  <c r="G60" i="1"/>
  <c r="F79" i="1"/>
  <c r="Y79" i="1"/>
  <c r="U79" i="1"/>
  <c r="W79" i="1" s="1"/>
  <c r="U68" i="1"/>
  <c r="W68" i="1" s="1"/>
  <c r="Y68" i="1"/>
  <c r="AA68" i="1" s="1"/>
  <c r="U67" i="1"/>
  <c r="W67" i="1" s="1"/>
  <c r="Y67" i="1"/>
  <c r="AA67" i="1" s="1"/>
  <c r="Y66" i="1"/>
  <c r="AA66" i="1" s="1"/>
  <c r="U66" i="1"/>
  <c r="W66" i="1" s="1"/>
  <c r="M130" i="8" l="1"/>
  <c r="M123" i="8"/>
  <c r="Y37" i="4"/>
  <c r="Y3" i="4" s="1"/>
  <c r="K90" i="8"/>
  <c r="M90" i="8"/>
  <c r="E27" i="8"/>
  <c r="H27" i="8"/>
  <c r="L79" i="1"/>
  <c r="L77" i="1" s="1"/>
  <c r="H18" i="8" s="1"/>
  <c r="H11" i="8" s="1"/>
  <c r="J79" i="1"/>
  <c r="J77" i="1" s="1"/>
  <c r="M131" i="8"/>
  <c r="E7" i="7"/>
  <c r="K131" i="8"/>
  <c r="Z37" i="4"/>
  <c r="Z3" i="4" s="1"/>
  <c r="P7" i="7"/>
  <c r="AA79" i="1"/>
  <c r="W39" i="3"/>
  <c r="Y31" i="3"/>
  <c r="Y28" i="3" s="1"/>
  <c r="I399" i="18" l="1"/>
  <c r="K123" i="8"/>
  <c r="R7" i="7"/>
  <c r="P6" i="13"/>
  <c r="AB79" i="1"/>
  <c r="AB77" i="1" s="1"/>
  <c r="O12" i="10"/>
  <c r="D103" i="10" s="1"/>
  <c r="D105" i="10"/>
  <c r="P9" i="13"/>
  <c r="D60" i="13" s="1"/>
  <c r="D61" i="13"/>
  <c r="E18" i="8"/>
  <c r="E11" i="8" s="1"/>
  <c r="J31" i="1"/>
  <c r="E61" i="13"/>
  <c r="K130" i="8"/>
  <c r="E105" i="10"/>
  <c r="AA31" i="3"/>
  <c r="F178" i="2"/>
  <c r="U178" i="2"/>
  <c r="Y171" i="2"/>
  <c r="Y188" i="2"/>
  <c r="W188" i="2"/>
  <c r="E5" i="13" l="1"/>
  <c r="K7" i="7"/>
  <c r="G7" i="7" s="1"/>
  <c r="N7" i="7" s="1"/>
  <c r="AA188" i="2"/>
  <c r="E60" i="13"/>
  <c r="E8" i="13"/>
  <c r="K18" i="8"/>
  <c r="M18" i="8"/>
  <c r="L178" i="2"/>
  <c r="L176" i="2" s="1"/>
  <c r="J178" i="2"/>
  <c r="J176" i="2" s="1"/>
  <c r="Z178" i="2"/>
  <c r="I679" i="18" s="1"/>
  <c r="AA171" i="2"/>
  <c r="W95" i="2"/>
  <c r="Y95" i="2"/>
  <c r="H84" i="8" l="1"/>
  <c r="H80" i="8" s="1"/>
  <c r="L164" i="2"/>
  <c r="AA95" i="2"/>
  <c r="E84" i="8"/>
  <c r="E80" i="8" s="1"/>
  <c r="J164" i="2"/>
  <c r="E55" i="11"/>
  <c r="D55" i="11"/>
  <c r="AB178" i="2"/>
  <c r="AB176" i="2" s="1"/>
  <c r="AB164" i="2" s="1"/>
  <c r="M80" i="8" s="1"/>
  <c r="Z176" i="2"/>
  <c r="I30" i="2"/>
  <c r="F17" i="2"/>
  <c r="K84" i="8" l="1"/>
  <c r="Z164" i="2"/>
  <c r="M84" i="8"/>
  <c r="L17" i="2"/>
  <c r="L15" i="2" s="1"/>
  <c r="H50" i="8" s="1"/>
  <c r="H47" i="8" s="1"/>
  <c r="J17" i="2"/>
  <c r="J15" i="2" s="1"/>
  <c r="K17" i="2"/>
  <c r="I17" i="2"/>
  <c r="U7" i="6"/>
  <c r="Z4" i="7"/>
  <c r="I137" i="5"/>
  <c r="K137" i="5"/>
  <c r="I138" i="5"/>
  <c r="Y126" i="5"/>
  <c r="AA126" i="5" s="1"/>
  <c r="W126" i="5"/>
  <c r="L158" i="8"/>
  <c r="L128" i="8"/>
  <c r="D96" i="10" l="1"/>
  <c r="O11" i="10"/>
  <c r="D92" i="10" s="1"/>
  <c r="E96" i="10"/>
  <c r="K80" i="8"/>
  <c r="J4" i="2"/>
  <c r="J3" i="2" s="1"/>
  <c r="E46" i="8" s="1"/>
  <c r="E50" i="8"/>
  <c r="E47" i="8" s="1"/>
  <c r="L4" i="2"/>
  <c r="L3" i="2" s="1"/>
  <c r="H46" i="8" s="1"/>
  <c r="Y17" i="3"/>
  <c r="AA17" i="3" s="1"/>
  <c r="E92" i="10" l="1"/>
  <c r="E10" i="10"/>
  <c r="P5" i="7"/>
  <c r="E5" i="7"/>
  <c r="L79" i="8"/>
  <c r="Y96" i="2"/>
  <c r="L56" i="8"/>
  <c r="AA96" i="2" l="1"/>
  <c r="AA27" i="1"/>
  <c r="Y24" i="1"/>
  <c r="AA24" i="1" s="1"/>
  <c r="I27" i="1"/>
  <c r="K27" i="1" l="1"/>
  <c r="I34" i="4" l="1"/>
  <c r="K6" i="4"/>
  <c r="F121" i="1" l="1"/>
  <c r="Y120" i="1"/>
  <c r="AA120" i="1" s="1"/>
  <c r="U119" i="1"/>
  <c r="F107" i="1"/>
  <c r="K106" i="1"/>
  <c r="K95" i="1"/>
  <c r="L107" i="1" l="1"/>
  <c r="J107" i="1"/>
  <c r="Z107" i="1"/>
  <c r="I421" i="18" s="1"/>
  <c r="L121" i="1"/>
  <c r="J121" i="1"/>
  <c r="Z121" i="1"/>
  <c r="U7" i="1"/>
  <c r="I7" i="1"/>
  <c r="AB121" i="1" l="1"/>
  <c r="I435" i="18"/>
  <c r="AB107" i="1"/>
  <c r="W7" i="1"/>
  <c r="W5" i="1" s="1"/>
  <c r="U5" i="1"/>
  <c r="AA7" i="1"/>
  <c r="C5" i="11" l="1"/>
  <c r="C97" i="11" l="1"/>
  <c r="Q5" i="11"/>
  <c r="Y132" i="3"/>
  <c r="AA132" i="3" s="1"/>
  <c r="U132" i="3"/>
  <c r="W132" i="3" s="1"/>
  <c r="K132" i="3"/>
  <c r="I132" i="3"/>
  <c r="Y131" i="3"/>
  <c r="AA131" i="3" s="1"/>
  <c r="U131" i="3"/>
  <c r="W131" i="3" s="1"/>
  <c r="I131" i="3"/>
  <c r="Y130" i="3"/>
  <c r="I130" i="3"/>
  <c r="Y126" i="3"/>
  <c r="U126" i="3"/>
  <c r="U125" i="3" s="1"/>
  <c r="K126" i="3"/>
  <c r="I126" i="3"/>
  <c r="I125" i="3" s="1"/>
  <c r="Y119" i="3"/>
  <c r="AA119" i="3" s="1"/>
  <c r="U119" i="3"/>
  <c r="W119" i="3" s="1"/>
  <c r="K119" i="3"/>
  <c r="I119" i="3"/>
  <c r="Y114" i="3"/>
  <c r="AA114" i="3" s="1"/>
  <c r="U114" i="3"/>
  <c r="W114" i="3" s="1"/>
  <c r="K114" i="3"/>
  <c r="I114" i="3"/>
  <c r="Y111" i="3"/>
  <c r="AA111" i="3" s="1"/>
  <c r="U111" i="3"/>
  <c r="W111" i="3" s="1"/>
  <c r="K111" i="3"/>
  <c r="I111" i="3"/>
  <c r="Y109" i="3"/>
  <c r="W109" i="3"/>
  <c r="K109" i="3"/>
  <c r="I109" i="3"/>
  <c r="Y106" i="3"/>
  <c r="AA106" i="3" s="1"/>
  <c r="U106" i="3"/>
  <c r="W106" i="3" s="1"/>
  <c r="K106" i="3"/>
  <c r="I106" i="3"/>
  <c r="Y105" i="3"/>
  <c r="AA105" i="3" s="1"/>
  <c r="U105" i="3"/>
  <c r="W105" i="3" s="1"/>
  <c r="K105" i="3"/>
  <c r="I105" i="3"/>
  <c r="Y104" i="3"/>
  <c r="AA104" i="3" s="1"/>
  <c r="U104" i="3"/>
  <c r="W104" i="3" s="1"/>
  <c r="K104" i="3"/>
  <c r="I104" i="3"/>
  <c r="Y103" i="3"/>
  <c r="AA103" i="3" s="1"/>
  <c r="K103" i="3"/>
  <c r="I103" i="3"/>
  <c r="Y102" i="3"/>
  <c r="AA102" i="3" s="1"/>
  <c r="U102" i="3"/>
  <c r="K102" i="3"/>
  <c r="I102" i="3"/>
  <c r="Y90" i="3"/>
  <c r="AA90" i="3" s="1"/>
  <c r="W90" i="3"/>
  <c r="I90" i="3"/>
  <c r="AA89" i="3"/>
  <c r="W89" i="3"/>
  <c r="K89" i="3"/>
  <c r="I89" i="3"/>
  <c r="Y88" i="3"/>
  <c r="U88" i="3"/>
  <c r="W88" i="3" s="1"/>
  <c r="K88" i="3"/>
  <c r="I88" i="3"/>
  <c r="I87" i="3"/>
  <c r="Y62" i="3"/>
  <c r="AA62" i="3" s="1"/>
  <c r="W62" i="3"/>
  <c r="K62" i="3"/>
  <c r="I62" i="3"/>
  <c r="Y60" i="3"/>
  <c r="AA60" i="3" s="1"/>
  <c r="W60" i="3"/>
  <c r="K60" i="3"/>
  <c r="I60" i="3"/>
  <c r="Y56" i="3"/>
  <c r="K56" i="3"/>
  <c r="I56" i="3"/>
  <c r="Y52" i="3"/>
  <c r="AA52" i="3" s="1"/>
  <c r="U52" i="3"/>
  <c r="K52" i="3"/>
  <c r="I52" i="3"/>
  <c r="I46" i="3" s="1"/>
  <c r="Y44" i="3"/>
  <c r="U43" i="3"/>
  <c r="K44" i="3"/>
  <c r="K43" i="3" s="1"/>
  <c r="G104" i="8" s="1"/>
  <c r="I44" i="3"/>
  <c r="I43" i="3" s="1"/>
  <c r="D104" i="8" s="1"/>
  <c r="Y41" i="3"/>
  <c r="Y40" i="3" s="1"/>
  <c r="W41" i="3"/>
  <c r="K41" i="3"/>
  <c r="I41" i="3"/>
  <c r="I40" i="3" s="1"/>
  <c r="Y39" i="3"/>
  <c r="AA39" i="3" s="1"/>
  <c r="K39" i="3"/>
  <c r="I39" i="3"/>
  <c r="Y38" i="3"/>
  <c r="AA38" i="3" s="1"/>
  <c r="U38" i="3"/>
  <c r="W38" i="3" s="1"/>
  <c r="K38" i="3"/>
  <c r="I38" i="3"/>
  <c r="Y37" i="3"/>
  <c r="AA37" i="3" s="1"/>
  <c r="U37" i="3"/>
  <c r="W37" i="3" s="1"/>
  <c r="K37" i="3"/>
  <c r="I37" i="3"/>
  <c r="Y25" i="3"/>
  <c r="Y24" i="3" s="1"/>
  <c r="K25" i="3"/>
  <c r="I25" i="3"/>
  <c r="Y23" i="3"/>
  <c r="AA23" i="3" s="1"/>
  <c r="W23" i="3"/>
  <c r="K23" i="3"/>
  <c r="I23" i="3"/>
  <c r="Y22" i="3"/>
  <c r="K22" i="3"/>
  <c r="I22" i="3"/>
  <c r="Y20" i="3"/>
  <c r="AA20" i="3" s="1"/>
  <c r="U20" i="3"/>
  <c r="W20" i="3" s="1"/>
  <c r="K20" i="3"/>
  <c r="I20" i="3"/>
  <c r="Y18" i="3"/>
  <c r="AA18" i="3" s="1"/>
  <c r="U18" i="3"/>
  <c r="W18" i="3" s="1"/>
  <c r="K18" i="3"/>
  <c r="I18" i="3"/>
  <c r="U17" i="3"/>
  <c r="K17" i="3"/>
  <c r="I17" i="3"/>
  <c r="Y9" i="3"/>
  <c r="AA9" i="3" s="1"/>
  <c r="U9" i="3"/>
  <c r="W9" i="3" s="1"/>
  <c r="I9" i="3"/>
  <c r="Y7" i="3"/>
  <c r="AA7" i="3" s="1"/>
  <c r="U7" i="3"/>
  <c r="W7" i="3" s="1"/>
  <c r="K7" i="3"/>
  <c r="I7" i="3"/>
  <c r="Y6" i="3"/>
  <c r="AA6" i="3" s="1"/>
  <c r="K6" i="3"/>
  <c r="I6" i="3"/>
  <c r="U157" i="4"/>
  <c r="W157" i="4" s="1"/>
  <c r="K157" i="4"/>
  <c r="I157" i="4"/>
  <c r="U156" i="4"/>
  <c r="W156" i="4" s="1"/>
  <c r="K156" i="4"/>
  <c r="I156" i="4"/>
  <c r="U154" i="4"/>
  <c r="W154" i="4" s="1"/>
  <c r="K154" i="4"/>
  <c r="I154" i="4"/>
  <c r="U152" i="4"/>
  <c r="W152" i="4" s="1"/>
  <c r="K152" i="4"/>
  <c r="I152" i="4"/>
  <c r="U151" i="4"/>
  <c r="W151" i="4" s="1"/>
  <c r="K151" i="4"/>
  <c r="I151" i="4"/>
  <c r="U148" i="4"/>
  <c r="W148" i="4" s="1"/>
  <c r="K148" i="4"/>
  <c r="I148" i="4"/>
  <c r="U147" i="4"/>
  <c r="W147" i="4" s="1"/>
  <c r="K147" i="4"/>
  <c r="I147" i="4"/>
  <c r="U146" i="4"/>
  <c r="W146" i="4" s="1"/>
  <c r="K146" i="4"/>
  <c r="I146" i="4"/>
  <c r="U143" i="4"/>
  <c r="W143" i="4" s="1"/>
  <c r="K143" i="4"/>
  <c r="I143" i="4"/>
  <c r="K142" i="4"/>
  <c r="U141" i="4"/>
  <c r="W141" i="4" s="1"/>
  <c r="K141" i="4"/>
  <c r="I141" i="4"/>
  <c r="K137" i="4"/>
  <c r="I137" i="4"/>
  <c r="U134" i="4"/>
  <c r="W134" i="4" s="1"/>
  <c r="K134" i="4"/>
  <c r="I134" i="4"/>
  <c r="U133" i="4"/>
  <c r="W133" i="4" s="1"/>
  <c r="K133" i="4"/>
  <c r="I133" i="4"/>
  <c r="K131" i="4"/>
  <c r="I131" i="4"/>
  <c r="K128" i="4"/>
  <c r="I128" i="4"/>
  <c r="K127" i="4"/>
  <c r="I127" i="4"/>
  <c r="U125" i="4"/>
  <c r="W125" i="4" s="1"/>
  <c r="K125" i="4"/>
  <c r="U122" i="4"/>
  <c r="W122" i="4" s="1"/>
  <c r="K122" i="4"/>
  <c r="I122" i="4"/>
  <c r="K120" i="4"/>
  <c r="I120" i="4"/>
  <c r="U118" i="4"/>
  <c r="W118" i="4" s="1"/>
  <c r="K118" i="4"/>
  <c r="U116" i="4"/>
  <c r="W116" i="4" s="1"/>
  <c r="K116" i="4"/>
  <c r="K115" i="4"/>
  <c r="U114" i="4"/>
  <c r="W114" i="4" s="1"/>
  <c r="K114" i="4"/>
  <c r="U113" i="4"/>
  <c r="W113" i="4" s="1"/>
  <c r="K113" i="4"/>
  <c r="K111" i="4"/>
  <c r="I111" i="4"/>
  <c r="K110" i="4"/>
  <c r="I110" i="4"/>
  <c r="U108" i="4"/>
  <c r="W108" i="4" s="1"/>
  <c r="K108" i="4"/>
  <c r="I108" i="4"/>
  <c r="U107" i="4"/>
  <c r="W107" i="4" s="1"/>
  <c r="K107" i="4"/>
  <c r="I107" i="4"/>
  <c r="U106" i="4"/>
  <c r="I106" i="4"/>
  <c r="K104" i="4"/>
  <c r="K102" i="4"/>
  <c r="I102" i="4"/>
  <c r="K101" i="4"/>
  <c r="I101" i="4"/>
  <c r="G148" i="8"/>
  <c r="D148" i="8"/>
  <c r="K96" i="4"/>
  <c r="K95" i="4" s="1"/>
  <c r="G146" i="8" s="1"/>
  <c r="I96" i="4"/>
  <c r="I95" i="4" s="1"/>
  <c r="D146" i="8" s="1"/>
  <c r="U94" i="4"/>
  <c r="W94" i="4" s="1"/>
  <c r="K94" i="4"/>
  <c r="I94" i="4"/>
  <c r="U92" i="4"/>
  <c r="W92" i="4" s="1"/>
  <c r="K92" i="4"/>
  <c r="I92" i="4"/>
  <c r="U90" i="4"/>
  <c r="W90" i="4" s="1"/>
  <c r="K90" i="4"/>
  <c r="I90" i="4"/>
  <c r="U86" i="4"/>
  <c r="W86" i="4" s="1"/>
  <c r="K86" i="4"/>
  <c r="I86" i="4"/>
  <c r="U85" i="4"/>
  <c r="W85" i="4" s="1"/>
  <c r="K85" i="4"/>
  <c r="I85" i="4"/>
  <c r="K81" i="4"/>
  <c r="I81" i="4"/>
  <c r="U80" i="4"/>
  <c r="W80" i="4" s="1"/>
  <c r="W79" i="4" s="1"/>
  <c r="K80" i="4"/>
  <c r="I80" i="4"/>
  <c r="U78" i="4"/>
  <c r="K78" i="4"/>
  <c r="K77" i="4" s="1"/>
  <c r="G141" i="8" s="1"/>
  <c r="I78" i="4"/>
  <c r="I77" i="4" s="1"/>
  <c r="D141" i="8" s="1"/>
  <c r="U76" i="4"/>
  <c r="W76" i="4" s="1"/>
  <c r="K76" i="4"/>
  <c r="I76" i="4"/>
  <c r="U75" i="4"/>
  <c r="W75" i="4" s="1"/>
  <c r="K75" i="4"/>
  <c r="I75" i="4"/>
  <c r="K74" i="4"/>
  <c r="I74" i="4"/>
  <c r="K71" i="4"/>
  <c r="I71" i="4"/>
  <c r="U69" i="4"/>
  <c r="K70" i="4"/>
  <c r="I70" i="4"/>
  <c r="K68" i="4"/>
  <c r="I68" i="4"/>
  <c r="U67" i="4"/>
  <c r="W67" i="4" s="1"/>
  <c r="K67" i="4"/>
  <c r="I67" i="4"/>
  <c r="U66" i="4"/>
  <c r="W66" i="4" s="1"/>
  <c r="K66" i="4"/>
  <c r="I66" i="4"/>
  <c r="K65" i="4"/>
  <c r="I65" i="4"/>
  <c r="U62" i="4"/>
  <c r="K62" i="4"/>
  <c r="K61" i="4" s="1"/>
  <c r="I62" i="4"/>
  <c r="I61" i="4" s="1"/>
  <c r="U59" i="4"/>
  <c r="K59" i="4"/>
  <c r="I59" i="4"/>
  <c r="L134" i="8"/>
  <c r="U54" i="4"/>
  <c r="W54" i="4" s="1"/>
  <c r="W53" i="4" s="1"/>
  <c r="K54" i="4"/>
  <c r="I54" i="4"/>
  <c r="U48" i="4"/>
  <c r="W48" i="4" s="1"/>
  <c r="K48" i="4"/>
  <c r="I48" i="4"/>
  <c r="U47" i="4"/>
  <c r="W47" i="4" s="1"/>
  <c r="K47" i="4"/>
  <c r="I47" i="4"/>
  <c r="U45" i="4"/>
  <c r="W45" i="4" s="1"/>
  <c r="K45" i="4"/>
  <c r="I45" i="4"/>
  <c r="U40" i="4"/>
  <c r="W40" i="4" s="1"/>
  <c r="K40" i="4"/>
  <c r="I40" i="4"/>
  <c r="U39" i="4"/>
  <c r="W39" i="4" s="1"/>
  <c r="K39" i="4"/>
  <c r="I39" i="4"/>
  <c r="K36" i="4"/>
  <c r="I36" i="4"/>
  <c r="I33" i="4" s="1"/>
  <c r="I26" i="4" s="1"/>
  <c r="K34" i="4"/>
  <c r="K25" i="4"/>
  <c r="I25" i="4"/>
  <c r="K23" i="4"/>
  <c r="I23" i="4"/>
  <c r="U18" i="4"/>
  <c r="W18" i="4" s="1"/>
  <c r="K18" i="4"/>
  <c r="I18" i="4"/>
  <c r="U17" i="4"/>
  <c r="W17" i="4" s="1"/>
  <c r="K17" i="4"/>
  <c r="I17" i="4"/>
  <c r="U16" i="4"/>
  <c r="W16" i="4" s="1"/>
  <c r="K16" i="4"/>
  <c r="I16" i="4"/>
  <c r="U15" i="4"/>
  <c r="W15" i="4" s="1"/>
  <c r="K15" i="4"/>
  <c r="I15" i="4"/>
  <c r="U14" i="4"/>
  <c r="W14" i="4" s="1"/>
  <c r="K14" i="4"/>
  <c r="I14" i="4"/>
  <c r="U13" i="4"/>
  <c r="W13" i="4" s="1"/>
  <c r="K13" i="4"/>
  <c r="I13" i="4"/>
  <c r="U7" i="4"/>
  <c r="W7" i="4" s="1"/>
  <c r="K7" i="4"/>
  <c r="I7" i="4"/>
  <c r="I6" i="4"/>
  <c r="Y138" i="5"/>
  <c r="AA138" i="5" s="1"/>
  <c r="U138" i="5"/>
  <c r="W138" i="5" s="1"/>
  <c r="Y137" i="5"/>
  <c r="U137" i="5"/>
  <c r="W137" i="5" s="1"/>
  <c r="Y133" i="5"/>
  <c r="AA133" i="5" s="1"/>
  <c r="W133" i="5"/>
  <c r="K133" i="5"/>
  <c r="I133" i="5"/>
  <c r="Y132" i="5"/>
  <c r="AA132" i="5" s="1"/>
  <c r="U132" i="5"/>
  <c r="K132" i="5"/>
  <c r="I132" i="5"/>
  <c r="U129" i="5"/>
  <c r="W129" i="5" s="1"/>
  <c r="F129" i="5"/>
  <c r="Z129" i="5" s="1"/>
  <c r="Y127" i="5"/>
  <c r="AA127" i="5" s="1"/>
  <c r="U127" i="5"/>
  <c r="W127" i="5" s="1"/>
  <c r="K127" i="5"/>
  <c r="I127" i="5"/>
  <c r="K126" i="5"/>
  <c r="I126" i="5"/>
  <c r="Y125" i="5"/>
  <c r="U125" i="5"/>
  <c r="W125" i="5" s="1"/>
  <c r="K125" i="5"/>
  <c r="I125" i="5"/>
  <c r="Y124" i="5"/>
  <c r="AA124" i="5" s="1"/>
  <c r="K124" i="5"/>
  <c r="I124" i="5"/>
  <c r="Y122" i="5"/>
  <c r="AA122" i="5" s="1"/>
  <c r="U122" i="5"/>
  <c r="W122" i="5" s="1"/>
  <c r="K122" i="5"/>
  <c r="I122" i="5"/>
  <c r="Y121" i="5"/>
  <c r="AA121" i="5" s="1"/>
  <c r="U121" i="5"/>
  <c r="W121" i="5" s="1"/>
  <c r="K121" i="5"/>
  <c r="I121" i="5"/>
  <c r="Y120" i="5"/>
  <c r="AA120" i="5" s="1"/>
  <c r="U120" i="5"/>
  <c r="W120" i="5" s="1"/>
  <c r="K120" i="5"/>
  <c r="I120" i="5"/>
  <c r="Y119" i="5"/>
  <c r="AA119" i="5" s="1"/>
  <c r="U119" i="5"/>
  <c r="W119" i="5" s="1"/>
  <c r="K119" i="5"/>
  <c r="Y118" i="5"/>
  <c r="AA118" i="5" s="1"/>
  <c r="U118" i="5"/>
  <c r="W118" i="5" s="1"/>
  <c r="K118" i="5"/>
  <c r="I118" i="5"/>
  <c r="Y117" i="5"/>
  <c r="AA117" i="5" s="1"/>
  <c r="U117" i="5"/>
  <c r="K117" i="5"/>
  <c r="I117" i="5"/>
  <c r="K114" i="5"/>
  <c r="I114" i="5"/>
  <c r="Y113" i="5"/>
  <c r="W113" i="5"/>
  <c r="W110" i="5" s="1"/>
  <c r="K113" i="5"/>
  <c r="I113" i="5"/>
  <c r="Y108" i="5"/>
  <c r="AA108" i="5" s="1"/>
  <c r="U108" i="5"/>
  <c r="W108" i="5" s="1"/>
  <c r="K108" i="5"/>
  <c r="I108" i="5"/>
  <c r="Y107" i="5"/>
  <c r="AA107" i="5" s="1"/>
  <c r="U107" i="5"/>
  <c r="W107" i="5" s="1"/>
  <c r="K107" i="5"/>
  <c r="I107" i="5"/>
  <c r="Y106" i="5"/>
  <c r="U106" i="5"/>
  <c r="W106" i="5" s="1"/>
  <c r="K106" i="5"/>
  <c r="I106" i="5"/>
  <c r="Y104" i="5"/>
  <c r="AA104" i="5" s="1"/>
  <c r="U104" i="5"/>
  <c r="W104" i="5" s="1"/>
  <c r="K104" i="5"/>
  <c r="I104" i="5"/>
  <c r="Y103" i="5"/>
  <c r="AA103" i="5" s="1"/>
  <c r="U103" i="5"/>
  <c r="W103" i="5" s="1"/>
  <c r="K103" i="5"/>
  <c r="I103" i="5"/>
  <c r="Y102" i="5"/>
  <c r="AA102" i="5" s="1"/>
  <c r="W102" i="5"/>
  <c r="K102" i="5"/>
  <c r="I102" i="5"/>
  <c r="Y97" i="5"/>
  <c r="AA97" i="5" s="1"/>
  <c r="U97" i="5"/>
  <c r="W97" i="5" s="1"/>
  <c r="K97" i="5"/>
  <c r="I97" i="5"/>
  <c r="Y96" i="5"/>
  <c r="AA96" i="5" s="1"/>
  <c r="U96" i="5"/>
  <c r="W96" i="5" s="1"/>
  <c r="K96" i="5"/>
  <c r="I96" i="5"/>
  <c r="Y95" i="5"/>
  <c r="AA95" i="5" s="1"/>
  <c r="K95" i="5"/>
  <c r="I95" i="5"/>
  <c r="G187" i="8"/>
  <c r="D187" i="8"/>
  <c r="Y90" i="5"/>
  <c r="Y85" i="5" s="1"/>
  <c r="Z85" i="5" s="1"/>
  <c r="W90" i="5"/>
  <c r="W85" i="5" s="1"/>
  <c r="K90" i="5"/>
  <c r="K85" i="5" s="1"/>
  <c r="I90" i="5"/>
  <c r="I85" i="5" s="1"/>
  <c r="Y84" i="5"/>
  <c r="AA84" i="5" s="1"/>
  <c r="U84" i="5"/>
  <c r="W84" i="5" s="1"/>
  <c r="K84" i="5"/>
  <c r="I84" i="5"/>
  <c r="Y83" i="5"/>
  <c r="AA83" i="5" s="1"/>
  <c r="U83" i="5"/>
  <c r="K83" i="5"/>
  <c r="I83" i="5"/>
  <c r="Y82" i="5"/>
  <c r="AA82" i="5" s="1"/>
  <c r="W82" i="5"/>
  <c r="K82" i="5"/>
  <c r="I82" i="5"/>
  <c r="Y81" i="5"/>
  <c r="AA81" i="5" s="1"/>
  <c r="U81" i="5"/>
  <c r="K81" i="5"/>
  <c r="I81" i="5"/>
  <c r="Y80" i="5"/>
  <c r="AA80" i="5" s="1"/>
  <c r="W80" i="5"/>
  <c r="K80" i="5"/>
  <c r="I80" i="5"/>
  <c r="Y79" i="5"/>
  <c r="W79" i="5"/>
  <c r="K79" i="5"/>
  <c r="I79" i="5"/>
  <c r="Y76" i="5"/>
  <c r="AA76" i="5" s="1"/>
  <c r="U76" i="5"/>
  <c r="W76" i="5" s="1"/>
  <c r="K76" i="5"/>
  <c r="I76" i="5"/>
  <c r="Y75" i="5"/>
  <c r="AA75" i="5" s="1"/>
  <c r="U75" i="5"/>
  <c r="K75" i="5"/>
  <c r="I75" i="5"/>
  <c r="Y73" i="5"/>
  <c r="AA73" i="5" s="1"/>
  <c r="U73" i="5"/>
  <c r="W73" i="5" s="1"/>
  <c r="K73" i="5"/>
  <c r="I73" i="5"/>
  <c r="Y70" i="5"/>
  <c r="AA70" i="5" s="1"/>
  <c r="U70" i="5"/>
  <c r="W70" i="5" s="1"/>
  <c r="K70" i="5"/>
  <c r="I70" i="5"/>
  <c r="Y69" i="5"/>
  <c r="U69" i="5"/>
  <c r="W69" i="5" s="1"/>
  <c r="K69" i="5"/>
  <c r="I69" i="5"/>
  <c r="Y67" i="5"/>
  <c r="U67" i="5"/>
  <c r="U66" i="5" s="1"/>
  <c r="K67" i="5"/>
  <c r="K66" i="5" s="1"/>
  <c r="G181" i="8" s="1"/>
  <c r="I67" i="5"/>
  <c r="I66" i="5" s="1"/>
  <c r="D181" i="8" s="1"/>
  <c r="Y65" i="5"/>
  <c r="AA65" i="5" s="1"/>
  <c r="U65" i="5"/>
  <c r="W65" i="5" s="1"/>
  <c r="K65" i="5"/>
  <c r="I65" i="5"/>
  <c r="Y64" i="5"/>
  <c r="AA64" i="5" s="1"/>
  <c r="U64" i="5"/>
  <c r="W64" i="5" s="1"/>
  <c r="K64" i="5"/>
  <c r="I64" i="5"/>
  <c r="Y63" i="5"/>
  <c r="AA63" i="5" s="1"/>
  <c r="W63" i="5"/>
  <c r="K63" i="5"/>
  <c r="I63" i="5"/>
  <c r="Y62" i="5"/>
  <c r="AA62" i="5" s="1"/>
  <c r="K62" i="5"/>
  <c r="I62" i="5"/>
  <c r="Y60" i="5"/>
  <c r="AA60" i="5" s="1"/>
  <c r="U60" i="5"/>
  <c r="W60" i="5" s="1"/>
  <c r="K60" i="5"/>
  <c r="I60" i="5"/>
  <c r="Y59" i="5"/>
  <c r="AA59" i="5" s="1"/>
  <c r="K59" i="5"/>
  <c r="I59" i="5"/>
  <c r="G177" i="8"/>
  <c r="D177" i="8"/>
  <c r="Y54" i="5"/>
  <c r="AA54" i="5" s="1"/>
  <c r="U54" i="5"/>
  <c r="W54" i="5" s="1"/>
  <c r="K54" i="5"/>
  <c r="I54" i="5"/>
  <c r="Y53" i="5"/>
  <c r="AA53" i="5" s="1"/>
  <c r="W53" i="5"/>
  <c r="K53" i="5"/>
  <c r="I53" i="5"/>
  <c r="Y52" i="5"/>
  <c r="AA52" i="5" s="1"/>
  <c r="W52" i="5"/>
  <c r="K52" i="5"/>
  <c r="I52" i="5"/>
  <c r="Y51" i="5"/>
  <c r="AA51" i="5" s="1"/>
  <c r="U51" i="5"/>
  <c r="W51" i="5" s="1"/>
  <c r="I51" i="5"/>
  <c r="Y50" i="5"/>
  <c r="W50" i="5"/>
  <c r="I50" i="5"/>
  <c r="AA46" i="5"/>
  <c r="W46" i="5"/>
  <c r="K46" i="5"/>
  <c r="I46" i="5"/>
  <c r="Y45" i="5"/>
  <c r="AA45" i="5" s="1"/>
  <c r="U45" i="5"/>
  <c r="W45" i="5" s="1"/>
  <c r="K45" i="5"/>
  <c r="I45" i="5"/>
  <c r="Y38" i="5"/>
  <c r="AA38" i="5" s="1"/>
  <c r="U38" i="5"/>
  <c r="W38" i="5" s="1"/>
  <c r="K38" i="5"/>
  <c r="I38" i="5"/>
  <c r="Y37" i="5"/>
  <c r="AA37" i="5" s="1"/>
  <c r="W37" i="5"/>
  <c r="K37" i="5"/>
  <c r="I37" i="5"/>
  <c r="Y31" i="5"/>
  <c r="U30" i="5"/>
  <c r="K31" i="5"/>
  <c r="K30" i="5" s="1"/>
  <c r="G170" i="8" s="1"/>
  <c r="I31" i="5"/>
  <c r="I30" i="5" s="1"/>
  <c r="D170" i="8" s="1"/>
  <c r="Y28" i="5"/>
  <c r="AA28" i="5" s="1"/>
  <c r="W28" i="5"/>
  <c r="K28" i="5"/>
  <c r="I28" i="5"/>
  <c r="Y27" i="5"/>
  <c r="U27" i="5"/>
  <c r="W27" i="5" s="1"/>
  <c r="K27" i="5"/>
  <c r="I27" i="5"/>
  <c r="Y25" i="5"/>
  <c r="AA25" i="5" s="1"/>
  <c r="U25" i="5"/>
  <c r="W25" i="5" s="1"/>
  <c r="K25" i="5"/>
  <c r="I25" i="5"/>
  <c r="Y24" i="5"/>
  <c r="AA24" i="5" s="1"/>
  <c r="U24" i="5"/>
  <c r="K24" i="5"/>
  <c r="I24" i="5"/>
  <c r="Y22" i="5"/>
  <c r="AA22" i="5" s="1"/>
  <c r="U22" i="5"/>
  <c r="W22" i="5" s="1"/>
  <c r="K22" i="5"/>
  <c r="I22" i="5"/>
  <c r="Y19" i="5"/>
  <c r="W19" i="5"/>
  <c r="K19" i="5"/>
  <c r="I19" i="5"/>
  <c r="Y16" i="5"/>
  <c r="AA16" i="5" s="1"/>
  <c r="U16" i="5"/>
  <c r="W16" i="5" s="1"/>
  <c r="K16" i="5"/>
  <c r="I16" i="5"/>
  <c r="Y15" i="5"/>
  <c r="AA15" i="5" s="1"/>
  <c r="U15" i="5"/>
  <c r="W15" i="5" s="1"/>
  <c r="K15" i="5"/>
  <c r="I15" i="5"/>
  <c r="AA14" i="5"/>
  <c r="U14" i="5"/>
  <c r="W14" i="5" s="1"/>
  <c r="K14" i="5"/>
  <c r="I14" i="5"/>
  <c r="Y13" i="5"/>
  <c r="AA13" i="5" s="1"/>
  <c r="U13" i="5"/>
  <c r="I13" i="5"/>
  <c r="Y11" i="5"/>
  <c r="AA11" i="5" s="1"/>
  <c r="W11" i="5"/>
  <c r="K11" i="5"/>
  <c r="I11" i="5"/>
  <c r="Y10" i="5"/>
  <c r="U9" i="5"/>
  <c r="K10" i="5"/>
  <c r="I10" i="5"/>
  <c r="AA27" i="5" l="1"/>
  <c r="Y26" i="5"/>
  <c r="J169" i="8" s="1"/>
  <c r="F169" i="8" s="1"/>
  <c r="W106" i="4"/>
  <c r="W105" i="4" s="1"/>
  <c r="U105" i="4"/>
  <c r="K186" i="8"/>
  <c r="K58" i="5"/>
  <c r="I36" i="5"/>
  <c r="D172" i="8" s="1"/>
  <c r="W46" i="4"/>
  <c r="W91" i="4"/>
  <c r="W121" i="4"/>
  <c r="K5" i="3"/>
  <c r="K4" i="3" s="1"/>
  <c r="AA113" i="5"/>
  <c r="AA110" i="5" s="1"/>
  <c r="L192" i="8" s="1"/>
  <c r="Y110" i="5"/>
  <c r="I129" i="5"/>
  <c r="I123" i="5" s="1"/>
  <c r="L129" i="5"/>
  <c r="L123" i="5" s="1"/>
  <c r="J129" i="5"/>
  <c r="J123" i="5" s="1"/>
  <c r="W64" i="4"/>
  <c r="AA137" i="5"/>
  <c r="AA134" i="5" s="1"/>
  <c r="L196" i="8" s="1"/>
  <c r="Y134" i="5"/>
  <c r="Z134" i="5" s="1"/>
  <c r="AA50" i="5"/>
  <c r="AA49" i="5" s="1"/>
  <c r="AA48" i="5" s="1"/>
  <c r="Y49" i="5"/>
  <c r="Y48" i="5" s="1"/>
  <c r="W83" i="4"/>
  <c r="AA19" i="5"/>
  <c r="AA18" i="5" s="1"/>
  <c r="L167" i="8" s="1"/>
  <c r="Y18" i="5"/>
  <c r="AA26" i="5"/>
  <c r="L169" i="8" s="1"/>
  <c r="AA125" i="5"/>
  <c r="I362" i="18"/>
  <c r="W38" i="4"/>
  <c r="AA10" i="5"/>
  <c r="AA9" i="5" s="1"/>
  <c r="L164" i="8" s="1"/>
  <c r="Y9" i="5"/>
  <c r="W134" i="5"/>
  <c r="I5" i="4"/>
  <c r="W73" i="4"/>
  <c r="W144" i="4"/>
  <c r="U77" i="4"/>
  <c r="W78" i="4"/>
  <c r="W77" i="4" s="1"/>
  <c r="W5" i="4"/>
  <c r="W4" i="4" s="1"/>
  <c r="D137" i="8"/>
  <c r="U57" i="4"/>
  <c r="W59" i="4"/>
  <c r="W57" i="4" s="1"/>
  <c r="W109" i="4"/>
  <c r="W140" i="4"/>
  <c r="W150" i="4"/>
  <c r="U61" i="4"/>
  <c r="W62" i="4"/>
  <c r="W61" i="4" s="1"/>
  <c r="AA130" i="3"/>
  <c r="AA129" i="3" s="1"/>
  <c r="L122" i="8" s="1"/>
  <c r="Y129" i="3"/>
  <c r="J122" i="8" s="1"/>
  <c r="F122" i="8" s="1"/>
  <c r="W59" i="3"/>
  <c r="K99" i="8"/>
  <c r="U16" i="3"/>
  <c r="AA109" i="3"/>
  <c r="AA107" i="3" s="1"/>
  <c r="L118" i="8" s="1"/>
  <c r="Y107" i="3"/>
  <c r="Z107" i="3" s="1"/>
  <c r="AA22" i="3"/>
  <c r="AA21" i="3" s="1"/>
  <c r="Y21" i="3"/>
  <c r="K34" i="3"/>
  <c r="K43" i="5"/>
  <c r="G174" i="8" s="1"/>
  <c r="AA79" i="5"/>
  <c r="AA78" i="5" s="1"/>
  <c r="Y78" i="5"/>
  <c r="U78" i="5"/>
  <c r="I110" i="5"/>
  <c r="AA126" i="3"/>
  <c r="AA125" i="3" s="1"/>
  <c r="L121" i="8" s="1"/>
  <c r="Y125" i="3"/>
  <c r="J121" i="8" s="1"/>
  <c r="F121" i="8" s="1"/>
  <c r="W52" i="3"/>
  <c r="W46" i="3" s="1"/>
  <c r="U46" i="3"/>
  <c r="AA41" i="3"/>
  <c r="AA40" i="3" s="1"/>
  <c r="L103" i="8" s="1"/>
  <c r="J103" i="8"/>
  <c r="F103" i="8" s="1"/>
  <c r="AA25" i="3"/>
  <c r="AA24" i="3" s="1"/>
  <c r="L99" i="8" s="1"/>
  <c r="AA56" i="3"/>
  <c r="AA54" i="3" s="1"/>
  <c r="L107" i="8" s="1"/>
  <c r="Y54" i="3"/>
  <c r="J125" i="8"/>
  <c r="F125" i="8" s="1"/>
  <c r="I121" i="4"/>
  <c r="D152" i="8" s="1"/>
  <c r="L156" i="8"/>
  <c r="J156" i="8"/>
  <c r="F156" i="8" s="1"/>
  <c r="I144" i="4"/>
  <c r="D156" i="8" s="1"/>
  <c r="U79" i="4"/>
  <c r="L142" i="8"/>
  <c r="I18" i="5"/>
  <c r="AA90" i="5"/>
  <c r="AA85" i="5" s="1"/>
  <c r="J186" i="8"/>
  <c r="F186" i="8" s="1"/>
  <c r="L151" i="8"/>
  <c r="J151" i="8"/>
  <c r="F151" i="8" s="1"/>
  <c r="AA88" i="3"/>
  <c r="AA86" i="3" s="1"/>
  <c r="AA67" i="3" s="1"/>
  <c r="Y86" i="3"/>
  <c r="Y67" i="3" s="1"/>
  <c r="W86" i="3"/>
  <c r="W67" i="3" s="1"/>
  <c r="W83" i="5"/>
  <c r="W102" i="3"/>
  <c r="U101" i="3"/>
  <c r="U109" i="4"/>
  <c r="W17" i="3"/>
  <c r="W16" i="3" s="1"/>
  <c r="I69" i="4"/>
  <c r="D139" i="8" s="1"/>
  <c r="AA23" i="5"/>
  <c r="L168" i="8" s="1"/>
  <c r="D129" i="8"/>
  <c r="U136" i="4"/>
  <c r="W49" i="5"/>
  <c r="I9" i="5"/>
  <c r="D160" i="8"/>
  <c r="L154" i="8"/>
  <c r="W6" i="3"/>
  <c r="W5" i="3" s="1"/>
  <c r="W4" i="3" s="1"/>
  <c r="U5" i="3"/>
  <c r="U4" i="3" s="1"/>
  <c r="L157" i="8"/>
  <c r="L150" i="8"/>
  <c r="L149" i="8"/>
  <c r="L133" i="8"/>
  <c r="L152" i="8"/>
  <c r="J148" i="8"/>
  <c r="F148" i="8" s="1"/>
  <c r="L148" i="8"/>
  <c r="L132" i="8"/>
  <c r="J137" i="8"/>
  <c r="F137" i="8" s="1"/>
  <c r="L145" i="8"/>
  <c r="J141" i="8"/>
  <c r="F141" i="8" s="1"/>
  <c r="L141" i="8"/>
  <c r="L129" i="8"/>
  <c r="L140" i="8"/>
  <c r="L138" i="8"/>
  <c r="AA12" i="5"/>
  <c r="J146" i="8"/>
  <c r="F146" i="8" s="1"/>
  <c r="L146" i="8"/>
  <c r="I12" i="5"/>
  <c r="AA58" i="5"/>
  <c r="AA94" i="5"/>
  <c r="L188" i="8" s="1"/>
  <c r="AA99" i="5"/>
  <c r="L189" i="8" s="1"/>
  <c r="L197" i="8"/>
  <c r="K26" i="5"/>
  <c r="Y30" i="5"/>
  <c r="J170" i="8" s="1"/>
  <c r="F170" i="8" s="1"/>
  <c r="AA31" i="5"/>
  <c r="AA30" i="5" s="1"/>
  <c r="L170" i="8" s="1"/>
  <c r="AA74" i="5"/>
  <c r="L183" i="8" s="1"/>
  <c r="J187" i="8"/>
  <c r="F187" i="8" s="1"/>
  <c r="L187" i="8"/>
  <c r="Y105" i="5"/>
  <c r="J190" i="8" s="1"/>
  <c r="F190" i="8" s="1"/>
  <c r="AA106" i="5"/>
  <c r="AA105" i="5" s="1"/>
  <c r="L190" i="8" s="1"/>
  <c r="AA131" i="5"/>
  <c r="L195" i="8" s="1"/>
  <c r="L173" i="8"/>
  <c r="AA43" i="5"/>
  <c r="L174" i="8" s="1"/>
  <c r="J177" i="8"/>
  <c r="F177" i="8" s="1"/>
  <c r="L177" i="8"/>
  <c r="I94" i="5"/>
  <c r="D188" i="8" s="1"/>
  <c r="I86" i="3"/>
  <c r="I67" i="3" s="1"/>
  <c r="D114" i="8"/>
  <c r="G111" i="8"/>
  <c r="AA117" i="3"/>
  <c r="L119" i="8" s="1"/>
  <c r="AA5" i="3"/>
  <c r="AA4" i="3" s="1"/>
  <c r="AA28" i="3"/>
  <c r="L100" i="8" s="1"/>
  <c r="AA34" i="3"/>
  <c r="L102" i="8" s="1"/>
  <c r="L111" i="8"/>
  <c r="L112" i="8"/>
  <c r="AA101" i="3"/>
  <c r="L117" i="8" s="1"/>
  <c r="L114" i="8"/>
  <c r="L115" i="8"/>
  <c r="AA16" i="3"/>
  <c r="K46" i="3"/>
  <c r="Y43" i="3"/>
  <c r="J104" i="8" s="1"/>
  <c r="F104" i="8" s="1"/>
  <c r="AA44" i="3"/>
  <c r="AA43" i="3" s="1"/>
  <c r="L104" i="8" s="1"/>
  <c r="AA46" i="3"/>
  <c r="L106" i="8" s="1"/>
  <c r="AA59" i="3"/>
  <c r="L108" i="8" s="1"/>
  <c r="AA36" i="5"/>
  <c r="L172" i="8" s="1"/>
  <c r="Y68" i="5"/>
  <c r="J182" i="8" s="1"/>
  <c r="F182" i="8" s="1"/>
  <c r="AA69" i="5"/>
  <c r="AA68" i="5" s="1"/>
  <c r="L182" i="8" s="1"/>
  <c r="Y66" i="5"/>
  <c r="J181" i="8" s="1"/>
  <c r="F181" i="8" s="1"/>
  <c r="AA67" i="5"/>
  <c r="AA66" i="5" s="1"/>
  <c r="L181" i="8" s="1"/>
  <c r="AA61" i="5"/>
  <c r="L180" i="8" s="1"/>
  <c r="Y58" i="5"/>
  <c r="W124" i="5"/>
  <c r="W123" i="5" s="1"/>
  <c r="U123" i="5"/>
  <c r="L144" i="8"/>
  <c r="L135" i="8"/>
  <c r="L126" i="8"/>
  <c r="L109" i="8"/>
  <c r="AA116" i="5"/>
  <c r="L193" i="8" s="1"/>
  <c r="U94" i="5"/>
  <c r="K18" i="5"/>
  <c r="K23" i="5"/>
  <c r="G168" i="8" s="1"/>
  <c r="D173" i="8"/>
  <c r="Y61" i="5"/>
  <c r="J180" i="8" s="1"/>
  <c r="F180" i="8" s="1"/>
  <c r="K9" i="5"/>
  <c r="I23" i="5"/>
  <c r="D168" i="8" s="1"/>
  <c r="U26" i="5"/>
  <c r="U23" i="5"/>
  <c r="Y74" i="5"/>
  <c r="J183" i="8" s="1"/>
  <c r="F183" i="8" s="1"/>
  <c r="K105" i="5"/>
  <c r="G190" i="8" s="1"/>
  <c r="K78" i="5"/>
  <c r="W94" i="5"/>
  <c r="D163" i="8"/>
  <c r="G173" i="8"/>
  <c r="I58" i="5"/>
  <c r="D197" i="8"/>
  <c r="K12" i="5"/>
  <c r="J171" i="8"/>
  <c r="F171" i="8" s="1"/>
  <c r="J173" i="8"/>
  <c r="F173" i="8" s="1"/>
  <c r="Y43" i="5"/>
  <c r="Z17" i="5" s="1"/>
  <c r="K61" i="5"/>
  <c r="G180" i="8" s="1"/>
  <c r="K94" i="5"/>
  <c r="G188" i="8" s="1"/>
  <c r="G197" i="8"/>
  <c r="D186" i="8"/>
  <c r="I105" i="5"/>
  <c r="D190" i="8" s="1"/>
  <c r="I140" i="4"/>
  <c r="D155" i="8" s="1"/>
  <c r="K5" i="4"/>
  <c r="U22" i="4"/>
  <c r="U38" i="4"/>
  <c r="U5" i="4"/>
  <c r="U134" i="5"/>
  <c r="K134" i="5"/>
  <c r="G196" i="8" s="1"/>
  <c r="I134" i="5"/>
  <c r="D196" i="8" s="1"/>
  <c r="K131" i="5"/>
  <c r="G195" i="8" s="1"/>
  <c r="I131" i="5"/>
  <c r="D195" i="8" s="1"/>
  <c r="Y116" i="5"/>
  <c r="U33" i="4"/>
  <c r="U26" i="4" s="1"/>
  <c r="U36" i="5"/>
  <c r="U49" i="5"/>
  <c r="U48" i="5" s="1"/>
  <c r="W24" i="5"/>
  <c r="W23" i="5" s="1"/>
  <c r="I49" i="5"/>
  <c r="I48" i="5" s="1"/>
  <c r="W68" i="5"/>
  <c r="I99" i="5"/>
  <c r="D189" i="8" s="1"/>
  <c r="K129" i="5"/>
  <c r="K123" i="5" s="1"/>
  <c r="Y23" i="5"/>
  <c r="J168" i="8" s="1"/>
  <c r="F168" i="8" s="1"/>
  <c r="K36" i="5"/>
  <c r="G172" i="8" s="1"/>
  <c r="K49" i="5"/>
  <c r="K48" i="5" s="1"/>
  <c r="K99" i="5"/>
  <c r="G189" i="8" s="1"/>
  <c r="W105" i="5"/>
  <c r="I116" i="5"/>
  <c r="D193" i="8" s="1"/>
  <c r="K110" i="5"/>
  <c r="W26" i="5"/>
  <c r="D171" i="8"/>
  <c r="W36" i="5"/>
  <c r="U99" i="5"/>
  <c r="K116" i="5"/>
  <c r="G193" i="8" s="1"/>
  <c r="Y129" i="5"/>
  <c r="I366" i="18" s="1"/>
  <c r="J197" i="8"/>
  <c r="F197" i="8" s="1"/>
  <c r="J163" i="8"/>
  <c r="F163" i="8" s="1"/>
  <c r="G171" i="8"/>
  <c r="Y36" i="5"/>
  <c r="J172" i="8" s="1"/>
  <c r="F172" i="8" s="1"/>
  <c r="K68" i="5"/>
  <c r="G182" i="8" s="1"/>
  <c r="I74" i="5"/>
  <c r="D183" i="8" s="1"/>
  <c r="U110" i="5"/>
  <c r="U116" i="5"/>
  <c r="U131" i="5"/>
  <c r="U18" i="5"/>
  <c r="U68" i="5"/>
  <c r="I78" i="5"/>
  <c r="Y131" i="5"/>
  <c r="J195" i="8" s="1"/>
  <c r="F195" i="8" s="1"/>
  <c r="J135" i="8"/>
  <c r="F135" i="8" s="1"/>
  <c r="K22" i="4"/>
  <c r="I105" i="4"/>
  <c r="D150" i="8" s="1"/>
  <c r="K38" i="4"/>
  <c r="U95" i="4"/>
  <c r="G133" i="8"/>
  <c r="G137" i="8"/>
  <c r="U91" i="4"/>
  <c r="I64" i="4"/>
  <c r="I79" i="4"/>
  <c r="K46" i="4"/>
  <c r="G132" i="8" s="1"/>
  <c r="I136" i="4"/>
  <c r="K33" i="4"/>
  <c r="K26" i="4" s="1"/>
  <c r="U53" i="4"/>
  <c r="I73" i="4"/>
  <c r="D140" i="8" s="1"/>
  <c r="J133" i="8"/>
  <c r="F133" i="8" s="1"/>
  <c r="K69" i="4"/>
  <c r="G139" i="8" s="1"/>
  <c r="J145" i="8"/>
  <c r="F145" i="8" s="1"/>
  <c r="K100" i="4"/>
  <c r="D133" i="8"/>
  <c r="U100" i="4"/>
  <c r="K64" i="4"/>
  <c r="G138" i="8" s="1"/>
  <c r="K109" i="4"/>
  <c r="U140" i="4"/>
  <c r="J128" i="8"/>
  <c r="F128" i="8" s="1"/>
  <c r="U46" i="4"/>
  <c r="I57" i="4"/>
  <c r="J140" i="8"/>
  <c r="F140" i="8" s="1"/>
  <c r="I91" i="4"/>
  <c r="D145" i="8" s="1"/>
  <c r="I46" i="4"/>
  <c r="K79" i="4"/>
  <c r="U150" i="4"/>
  <c r="I150" i="4"/>
  <c r="D157" i="8" s="1"/>
  <c r="K105" i="4"/>
  <c r="G150" i="8" s="1"/>
  <c r="I100" i="4"/>
  <c r="J132" i="8"/>
  <c r="F132" i="8" s="1"/>
  <c r="J138" i="8"/>
  <c r="F138" i="8" s="1"/>
  <c r="K140" i="4"/>
  <c r="G155" i="8" s="1"/>
  <c r="I22" i="4"/>
  <c r="K53" i="4"/>
  <c r="G134" i="8" s="1"/>
  <c r="I53" i="4"/>
  <c r="D134" i="8" s="1"/>
  <c r="J139" i="8"/>
  <c r="F139" i="8" s="1"/>
  <c r="J150" i="8"/>
  <c r="F150" i="8" s="1"/>
  <c r="J157" i="8"/>
  <c r="F157" i="8" s="1"/>
  <c r="D103" i="8"/>
  <c r="U34" i="3"/>
  <c r="I54" i="3"/>
  <c r="D107" i="8" s="1"/>
  <c r="I21" i="3"/>
  <c r="D98" i="8" s="1"/>
  <c r="K54" i="3"/>
  <c r="G107" i="8" s="1"/>
  <c r="U40" i="3"/>
  <c r="U24" i="3"/>
  <c r="G114" i="8"/>
  <c r="Y59" i="3"/>
  <c r="J109" i="8"/>
  <c r="F109" i="8" s="1"/>
  <c r="Y16" i="3"/>
  <c r="G112" i="8"/>
  <c r="K21" i="3"/>
  <c r="G98" i="8" s="1"/>
  <c r="D100" i="8"/>
  <c r="W40" i="3"/>
  <c r="J112" i="8"/>
  <c r="F112" i="8" s="1"/>
  <c r="D115" i="8"/>
  <c r="J115" i="8"/>
  <c r="K125" i="3"/>
  <c r="K129" i="3"/>
  <c r="G122" i="8" s="1"/>
  <c r="K86" i="3"/>
  <c r="K67" i="3" s="1"/>
  <c r="U117" i="3"/>
  <c r="U129" i="3"/>
  <c r="K101" i="3"/>
  <c r="W103" i="3"/>
  <c r="I107" i="3"/>
  <c r="D118" i="8" s="1"/>
  <c r="I16" i="3"/>
  <c r="K16" i="3"/>
  <c r="Y34" i="3"/>
  <c r="K59" i="3"/>
  <c r="G108" i="8" s="1"/>
  <c r="G115" i="8"/>
  <c r="I129" i="3"/>
  <c r="D122" i="8" s="1"/>
  <c r="U59" i="3"/>
  <c r="K40" i="3"/>
  <c r="G103" i="8" s="1"/>
  <c r="D95" i="8"/>
  <c r="I34" i="3"/>
  <c r="I33" i="3" s="1"/>
  <c r="J114" i="8"/>
  <c r="F114" i="8" s="1"/>
  <c r="Y117" i="3"/>
  <c r="J119" i="8" s="1"/>
  <c r="F119" i="8" s="1"/>
  <c r="I5" i="3"/>
  <c r="I4" i="3" s="1"/>
  <c r="I24" i="3"/>
  <c r="D99" i="8" s="1"/>
  <c r="Y46" i="3"/>
  <c r="J111" i="8"/>
  <c r="F111" i="8" s="1"/>
  <c r="I101" i="3"/>
  <c r="K107" i="3"/>
  <c r="G118" i="8" s="1"/>
  <c r="I117" i="3"/>
  <c r="D119" i="8" s="1"/>
  <c r="Y5" i="3"/>
  <c r="Y4" i="3" s="1"/>
  <c r="K24" i="3"/>
  <c r="G99" i="8" s="1"/>
  <c r="I59" i="3"/>
  <c r="D108" i="8" s="1"/>
  <c r="D112" i="8"/>
  <c r="Y101" i="3"/>
  <c r="K117" i="3"/>
  <c r="G119" i="8" s="1"/>
  <c r="W126" i="3"/>
  <c r="W125" i="3" s="1"/>
  <c r="W107" i="3"/>
  <c r="W117" i="3"/>
  <c r="U86" i="3"/>
  <c r="U67" i="3" s="1"/>
  <c r="U107" i="3"/>
  <c r="W44" i="3"/>
  <c r="W43" i="3" s="1"/>
  <c r="U54" i="3"/>
  <c r="W130" i="3"/>
  <c r="W129" i="3" s="1"/>
  <c r="W22" i="3"/>
  <c r="W21" i="3" s="1"/>
  <c r="W34" i="3"/>
  <c r="W25" i="3"/>
  <c r="W24" i="3" s="1"/>
  <c r="K57" i="4"/>
  <c r="U83" i="4"/>
  <c r="K91" i="4"/>
  <c r="G145" i="8" s="1"/>
  <c r="K121" i="4"/>
  <c r="G152" i="8" s="1"/>
  <c r="J134" i="8"/>
  <c r="F134" i="8" s="1"/>
  <c r="U121" i="4"/>
  <c r="I38" i="4"/>
  <c r="K136" i="4"/>
  <c r="K73" i="4"/>
  <c r="G140" i="8" s="1"/>
  <c r="I83" i="4"/>
  <c r="I109" i="4"/>
  <c r="J152" i="8"/>
  <c r="K144" i="4"/>
  <c r="G156" i="8" s="1"/>
  <c r="K150" i="4"/>
  <c r="G157" i="8" s="1"/>
  <c r="U73" i="4"/>
  <c r="K83" i="4"/>
  <c r="U144" i="4"/>
  <c r="W10" i="5"/>
  <c r="W9" i="5" s="1"/>
  <c r="W62" i="5"/>
  <c r="W61" i="5" s="1"/>
  <c r="U61" i="5"/>
  <c r="W99" i="5"/>
  <c r="W132" i="5"/>
  <c r="W131" i="5" s="1"/>
  <c r="I26" i="5"/>
  <c r="I43" i="5"/>
  <c r="D174" i="8" s="1"/>
  <c r="I68" i="5"/>
  <c r="D182" i="8" s="1"/>
  <c r="Y99" i="5"/>
  <c r="J189" i="8" s="1"/>
  <c r="F189" i="8" s="1"/>
  <c r="U12" i="5"/>
  <c r="U4" i="5" s="1"/>
  <c r="W18" i="5"/>
  <c r="K74" i="5"/>
  <c r="G183" i="8" s="1"/>
  <c r="W81" i="5"/>
  <c r="W13" i="5"/>
  <c r="W12" i="5" s="1"/>
  <c r="W31" i="5"/>
  <c r="W30" i="5" s="1"/>
  <c r="U43" i="5"/>
  <c r="W43" i="5"/>
  <c r="U74" i="5"/>
  <c r="G186" i="8"/>
  <c r="Y12" i="5"/>
  <c r="U85" i="5"/>
  <c r="Y94" i="5"/>
  <c r="U58" i="5"/>
  <c r="I61" i="5"/>
  <c r="D180" i="8" s="1"/>
  <c r="U105" i="5"/>
  <c r="W59" i="5"/>
  <c r="W58" i="5" s="1"/>
  <c r="W75" i="5"/>
  <c r="W74" i="5" s="1"/>
  <c r="W117" i="5"/>
  <c r="W116" i="5" s="1"/>
  <c r="W67" i="5"/>
  <c r="W66" i="5" s="1"/>
  <c r="Y45" i="3" l="1"/>
  <c r="Y15" i="3"/>
  <c r="J108" i="8"/>
  <c r="F108" i="8" s="1"/>
  <c r="K108" i="8"/>
  <c r="J118" i="8"/>
  <c r="F118" i="8" s="1"/>
  <c r="J174" i="8"/>
  <c r="F174" i="8" s="1"/>
  <c r="J196" i="8"/>
  <c r="F196" i="8" s="1"/>
  <c r="K196" i="8"/>
  <c r="E100" i="15" s="1"/>
  <c r="E88" i="15"/>
  <c r="J188" i="8"/>
  <c r="F188" i="8" s="1"/>
  <c r="Z77" i="5"/>
  <c r="Y17" i="5"/>
  <c r="J164" i="8"/>
  <c r="F164" i="8" s="1"/>
  <c r="Y4" i="5"/>
  <c r="Z4" i="5" s="1"/>
  <c r="AA4" i="5"/>
  <c r="I17" i="5"/>
  <c r="W37" i="4"/>
  <c r="F37" i="4" s="1"/>
  <c r="W82" i="4"/>
  <c r="F82" i="4" s="1"/>
  <c r="W97" i="4"/>
  <c r="F97" i="4" s="1"/>
  <c r="I97" i="4"/>
  <c r="D159" i="8"/>
  <c r="K96" i="8"/>
  <c r="E41" i="12"/>
  <c r="W48" i="5"/>
  <c r="F48" i="5" s="1"/>
  <c r="I60" i="4"/>
  <c r="AA129" i="5"/>
  <c r="AA123" i="5" s="1"/>
  <c r="L194" i="8" s="1"/>
  <c r="L191" i="8" s="1"/>
  <c r="AB129" i="5"/>
  <c r="E194" i="8"/>
  <c r="E191" i="8" s="1"/>
  <c r="J109" i="5"/>
  <c r="J3" i="5" s="1"/>
  <c r="E161" i="8" s="1"/>
  <c r="I109" i="5"/>
  <c r="H194" i="8"/>
  <c r="H191" i="8" s="1"/>
  <c r="L109" i="5"/>
  <c r="L3" i="5" s="1"/>
  <c r="H161" i="8" s="1"/>
  <c r="P8" i="7" s="1"/>
  <c r="I77" i="5"/>
  <c r="Y77" i="5"/>
  <c r="W57" i="5"/>
  <c r="F57" i="5" s="1"/>
  <c r="U109" i="5"/>
  <c r="I57" i="5"/>
  <c r="U17" i="5"/>
  <c r="AB125" i="5"/>
  <c r="U97" i="4"/>
  <c r="W135" i="4"/>
  <c r="F135" i="4" s="1"/>
  <c r="I135" i="4"/>
  <c r="W60" i="4"/>
  <c r="I124" i="3"/>
  <c r="W101" i="3"/>
  <c r="W100" i="3" s="1"/>
  <c r="F100" i="3" s="1"/>
  <c r="K45" i="3"/>
  <c r="I100" i="3"/>
  <c r="G165" i="8"/>
  <c r="K4" i="5"/>
  <c r="D165" i="8"/>
  <c r="I4" i="5"/>
  <c r="G169" i="8"/>
  <c r="K17" i="5"/>
  <c r="W45" i="3"/>
  <c r="F45" i="3" s="1"/>
  <c r="Y33" i="3"/>
  <c r="K124" i="3"/>
  <c r="I15" i="3"/>
  <c r="U45" i="3"/>
  <c r="K100" i="3"/>
  <c r="W4" i="5"/>
  <c r="F4" i="5" s="1"/>
  <c r="K109" i="5"/>
  <c r="L176" i="8"/>
  <c r="W109" i="5"/>
  <c r="F109" i="5" s="1"/>
  <c r="AA57" i="5"/>
  <c r="U37" i="4"/>
  <c r="L131" i="8"/>
  <c r="K37" i="4"/>
  <c r="I37" i="4"/>
  <c r="J117" i="8"/>
  <c r="F117" i="8" s="1"/>
  <c r="Y100" i="3"/>
  <c r="J102" i="8"/>
  <c r="F102" i="8" s="1"/>
  <c r="W15" i="3"/>
  <c r="F15" i="3" s="1"/>
  <c r="I45" i="3"/>
  <c r="L186" i="8"/>
  <c r="AA77" i="5"/>
  <c r="I82" i="4"/>
  <c r="D125" i="8"/>
  <c r="I4" i="4"/>
  <c r="J106" i="8"/>
  <c r="F106" i="8" s="1"/>
  <c r="D132" i="8"/>
  <c r="L113" i="8"/>
  <c r="D138" i="8"/>
  <c r="D164" i="8"/>
  <c r="U77" i="5"/>
  <c r="W78" i="5"/>
  <c r="W77" i="5" s="1"/>
  <c r="F77" i="5" s="1"/>
  <c r="K33" i="3"/>
  <c r="K15" i="3"/>
  <c r="L94" i="8"/>
  <c r="J94" i="8"/>
  <c r="F94" i="8" s="1"/>
  <c r="J144" i="8"/>
  <c r="F144" i="8" s="1"/>
  <c r="J165" i="8"/>
  <c r="F165" i="8" s="1"/>
  <c r="L165" i="8"/>
  <c r="L98" i="8"/>
  <c r="AA15" i="3"/>
  <c r="U64" i="4"/>
  <c r="G97" i="8"/>
  <c r="D97" i="8"/>
  <c r="D106" i="8"/>
  <c r="G106" i="8"/>
  <c r="J97" i="8"/>
  <c r="F97" i="8" s="1"/>
  <c r="G94" i="8"/>
  <c r="J107" i="8"/>
  <c r="F107" i="8" s="1"/>
  <c r="G113" i="8"/>
  <c r="G110" i="8" s="1"/>
  <c r="N10" i="12" s="1"/>
  <c r="D113" i="8"/>
  <c r="J113" i="8"/>
  <c r="G167" i="8"/>
  <c r="D167" i="8"/>
  <c r="G192" i="8"/>
  <c r="K77" i="5"/>
  <c r="D192" i="8"/>
  <c r="J192" i="8"/>
  <c r="F192" i="8" s="1"/>
  <c r="J167" i="8"/>
  <c r="F167" i="8" s="1"/>
  <c r="D149" i="8"/>
  <c r="U135" i="4"/>
  <c r="G125" i="8"/>
  <c r="K4" i="4"/>
  <c r="G129" i="8"/>
  <c r="G131" i="8"/>
  <c r="J154" i="8"/>
  <c r="F154" i="8" s="1"/>
  <c r="K135" i="4"/>
  <c r="G149" i="8"/>
  <c r="K97" i="4"/>
  <c r="D131" i="8"/>
  <c r="J131" i="8"/>
  <c r="L127" i="8"/>
  <c r="J149" i="8"/>
  <c r="F149" i="8" s="1"/>
  <c r="D158" i="8"/>
  <c r="G163" i="8"/>
  <c r="J160" i="8"/>
  <c r="F160" i="8" s="1"/>
  <c r="L137" i="8"/>
  <c r="W33" i="3"/>
  <c r="F33" i="3" s="1"/>
  <c r="L179" i="8"/>
  <c r="L163" i="8"/>
  <c r="L139" i="8"/>
  <c r="F4" i="4"/>
  <c r="AA124" i="3"/>
  <c r="G128" i="8"/>
  <c r="D128" i="8"/>
  <c r="L155" i="8"/>
  <c r="L153" i="8" s="1"/>
  <c r="L125" i="8"/>
  <c r="L160" i="8"/>
  <c r="L159" i="8" s="1"/>
  <c r="L147" i="8"/>
  <c r="G160" i="8"/>
  <c r="G158" i="8"/>
  <c r="J155" i="8"/>
  <c r="F155" i="8" s="1"/>
  <c r="D154" i="8"/>
  <c r="G154" i="8"/>
  <c r="L95" i="8"/>
  <c r="L143" i="8"/>
  <c r="Y123" i="5"/>
  <c r="L166" i="8"/>
  <c r="G185" i="8"/>
  <c r="G184" i="8" s="1"/>
  <c r="N10" i="15" s="1"/>
  <c r="D185" i="8"/>
  <c r="D176" i="8"/>
  <c r="G176" i="8"/>
  <c r="G175" i="8" s="1"/>
  <c r="N8" i="15" s="1"/>
  <c r="AA17" i="5"/>
  <c r="L185" i="8"/>
  <c r="L101" i="8"/>
  <c r="F67" i="3"/>
  <c r="D111" i="8"/>
  <c r="G109" i="8"/>
  <c r="G117" i="8"/>
  <c r="G102" i="8"/>
  <c r="L97" i="8"/>
  <c r="F4" i="3"/>
  <c r="AA45" i="3"/>
  <c r="G95" i="8"/>
  <c r="D102" i="8"/>
  <c r="L105" i="8"/>
  <c r="AA100" i="3"/>
  <c r="D94" i="8"/>
  <c r="L116" i="8"/>
  <c r="D117" i="8"/>
  <c r="AA33" i="3"/>
  <c r="G164" i="8"/>
  <c r="L120" i="8"/>
  <c r="J99" i="8"/>
  <c r="F99" i="8" s="1"/>
  <c r="D169" i="8"/>
  <c r="U57" i="5"/>
  <c r="Y57" i="5"/>
  <c r="J179" i="8"/>
  <c r="F179" i="8" s="1"/>
  <c r="D179" i="8"/>
  <c r="G179" i="8"/>
  <c r="K57" i="5"/>
  <c r="D194" i="8"/>
  <c r="G194" i="8"/>
  <c r="G151" i="8"/>
  <c r="D151" i="8"/>
  <c r="D144" i="8"/>
  <c r="G144" i="8"/>
  <c r="K82" i="4"/>
  <c r="J142" i="8"/>
  <c r="F142" i="8" s="1"/>
  <c r="G142" i="8"/>
  <c r="K60" i="4"/>
  <c r="D142" i="8"/>
  <c r="D135" i="8"/>
  <c r="G135" i="8"/>
  <c r="D126" i="8"/>
  <c r="U4" i="4"/>
  <c r="G126" i="8"/>
  <c r="D121" i="8"/>
  <c r="G121" i="8"/>
  <c r="D109" i="8"/>
  <c r="J120" i="8"/>
  <c r="F120" i="8" s="1"/>
  <c r="J193" i="8"/>
  <c r="F193" i="8" s="1"/>
  <c r="J176" i="8"/>
  <c r="F176" i="8" s="1"/>
  <c r="J185" i="8"/>
  <c r="F185" i="8" s="1"/>
  <c r="G100" i="8"/>
  <c r="J129" i="8"/>
  <c r="F26" i="4"/>
  <c r="U33" i="3"/>
  <c r="U15" i="3"/>
  <c r="F167" i="4"/>
  <c r="U82" i="4"/>
  <c r="J126" i="8"/>
  <c r="F126" i="8" s="1"/>
  <c r="U124" i="3"/>
  <c r="J100" i="8"/>
  <c r="F100" i="8" s="1"/>
  <c r="U100" i="3"/>
  <c r="Y124" i="3"/>
  <c r="J98" i="8"/>
  <c r="F98" i="8" s="1"/>
  <c r="W124" i="3"/>
  <c r="F124" i="3" s="1"/>
  <c r="W17" i="5"/>
  <c r="F17" i="5" s="1"/>
  <c r="B203" i="8"/>
  <c r="B199" i="8"/>
  <c r="B198" i="8"/>
  <c r="C5" i="17" s="1"/>
  <c r="K5" i="17" s="1"/>
  <c r="C62" i="17" s="1"/>
  <c r="B191" i="8"/>
  <c r="B184" i="8"/>
  <c r="B178" i="8"/>
  <c r="B175" i="8"/>
  <c r="B166" i="8"/>
  <c r="B162" i="8"/>
  <c r="B161" i="8"/>
  <c r="C5" i="15" s="1"/>
  <c r="M5" i="15" s="1"/>
  <c r="C109" i="15" s="1"/>
  <c r="B159" i="8"/>
  <c r="C13" i="13" s="1"/>
  <c r="B153" i="8"/>
  <c r="B147" i="8"/>
  <c r="B143" i="8"/>
  <c r="B136" i="8"/>
  <c r="B130" i="8"/>
  <c r="B127" i="8"/>
  <c r="B124" i="8"/>
  <c r="B123" i="8"/>
  <c r="C5" i="13" s="1"/>
  <c r="N6" i="13" s="1"/>
  <c r="C120" i="13" s="1"/>
  <c r="B120" i="8"/>
  <c r="B116" i="8"/>
  <c r="B110" i="8"/>
  <c r="B105" i="8"/>
  <c r="B101" i="8"/>
  <c r="B96" i="8"/>
  <c r="B93" i="8"/>
  <c r="B92" i="8"/>
  <c r="C5" i="12" s="1"/>
  <c r="M5" i="12" s="1"/>
  <c r="C88" i="12" s="1"/>
  <c r="B88" i="8"/>
  <c r="B80" i="8"/>
  <c r="B73" i="8"/>
  <c r="B68" i="8"/>
  <c r="B64" i="8"/>
  <c r="B47" i="8"/>
  <c r="C6" i="10" s="1"/>
  <c r="B46" i="8"/>
  <c r="C5" i="10" s="1"/>
  <c r="B34" i="8"/>
  <c r="B26" i="8"/>
  <c r="C9" i="11" s="1"/>
  <c r="B21" i="8"/>
  <c r="C61" i="11" s="1"/>
  <c r="B20" i="8"/>
  <c r="C8" i="11" s="1"/>
  <c r="B19" i="8"/>
  <c r="C56" i="11" s="1"/>
  <c r="B18" i="8"/>
  <c r="C55" i="11" s="1"/>
  <c r="B17" i="8"/>
  <c r="C54" i="11" s="1"/>
  <c r="B16" i="8"/>
  <c r="C53" i="11" s="1"/>
  <c r="B15" i="8"/>
  <c r="C52" i="11" s="1"/>
  <c r="B14" i="8"/>
  <c r="C51" i="11" s="1"/>
  <c r="B13" i="8"/>
  <c r="C50" i="11" s="1"/>
  <c r="B12" i="8"/>
  <c r="C49" i="11" s="1"/>
  <c r="B11" i="8"/>
  <c r="C7" i="11" s="1"/>
  <c r="B10" i="8"/>
  <c r="C37" i="11" s="1"/>
  <c r="B9" i="8"/>
  <c r="C36" i="11" s="1"/>
  <c r="B8" i="8"/>
  <c r="C35" i="11" s="1"/>
  <c r="B7" i="8"/>
  <c r="C34" i="11" s="1"/>
  <c r="B6" i="8"/>
  <c r="C33" i="11" s="1"/>
  <c r="B5" i="8"/>
  <c r="E57" i="12" l="1"/>
  <c r="K105" i="8"/>
  <c r="K118" i="8"/>
  <c r="Z100" i="3"/>
  <c r="Z3" i="3" s="1"/>
  <c r="K174" i="8"/>
  <c r="K188" i="8"/>
  <c r="K182" i="8"/>
  <c r="Z57" i="5"/>
  <c r="AB123" i="5"/>
  <c r="AB109" i="5" s="1"/>
  <c r="I3" i="5"/>
  <c r="D161" i="8" s="1"/>
  <c r="Y3" i="3"/>
  <c r="J92" i="8" s="1"/>
  <c r="F92" i="8" s="1"/>
  <c r="E8" i="7"/>
  <c r="Z123" i="5"/>
  <c r="J130" i="8"/>
  <c r="F130" i="8" s="1"/>
  <c r="F131" i="8"/>
  <c r="J127" i="8"/>
  <c r="F127" i="8" s="1"/>
  <c r="D7" i="13" s="1"/>
  <c r="F129" i="8"/>
  <c r="F113" i="8"/>
  <c r="D101" i="8"/>
  <c r="D184" i="8"/>
  <c r="U3" i="5"/>
  <c r="D120" i="8"/>
  <c r="D12" i="12" s="1"/>
  <c r="D178" i="8"/>
  <c r="E38" i="12"/>
  <c r="E7" i="12"/>
  <c r="D143" i="8"/>
  <c r="D116" i="8"/>
  <c r="D127" i="8"/>
  <c r="AA109" i="5"/>
  <c r="AA3" i="5" s="1"/>
  <c r="L161" i="8" s="1"/>
  <c r="G166" i="8"/>
  <c r="N7" i="15" s="1"/>
  <c r="I3" i="4"/>
  <c r="D123" i="8" s="1"/>
  <c r="D162" i="8"/>
  <c r="K3" i="5"/>
  <c r="G161" i="8" s="1"/>
  <c r="L110" i="8"/>
  <c r="J153" i="8"/>
  <c r="F153" i="8" s="1"/>
  <c r="D175" i="8"/>
  <c r="K3" i="4"/>
  <c r="G123" i="8" s="1"/>
  <c r="W3" i="3"/>
  <c r="G191" i="8"/>
  <c r="N11" i="15" s="1"/>
  <c r="W3" i="5"/>
  <c r="L175" i="8"/>
  <c r="D191" i="8"/>
  <c r="D130" i="8"/>
  <c r="D124" i="8"/>
  <c r="L130" i="8"/>
  <c r="G127" i="8"/>
  <c r="O8" i="13" s="1"/>
  <c r="D136" i="8"/>
  <c r="G130" i="8"/>
  <c r="O9" i="13" s="1"/>
  <c r="J101" i="8"/>
  <c r="F101" i="8" s="1"/>
  <c r="D8" i="12" s="1"/>
  <c r="D93" i="8"/>
  <c r="G93" i="8"/>
  <c r="N6" i="12" s="1"/>
  <c r="J194" i="8"/>
  <c r="Y109" i="5"/>
  <c r="Y3" i="5" s="1"/>
  <c r="G162" i="8"/>
  <c r="N6" i="15" s="1"/>
  <c r="J123" i="8"/>
  <c r="F123" i="8" s="1"/>
  <c r="L96" i="8"/>
  <c r="G96" i="8"/>
  <c r="N7" i="12" s="1"/>
  <c r="J110" i="8"/>
  <c r="J96" i="8"/>
  <c r="F96" i="8" s="1"/>
  <c r="D96" i="8"/>
  <c r="D110" i="8"/>
  <c r="C7" i="17"/>
  <c r="K7" i="17" s="1"/>
  <c r="C64" i="17" s="1"/>
  <c r="C52" i="17"/>
  <c r="C42" i="17"/>
  <c r="C6" i="17"/>
  <c r="K6" i="17" s="1"/>
  <c r="C63" i="17" s="1"/>
  <c r="L162" i="8"/>
  <c r="J162" i="8"/>
  <c r="F162" i="8" s="1"/>
  <c r="C7" i="10"/>
  <c r="M8" i="10" s="1"/>
  <c r="C116" i="10" s="1"/>
  <c r="C57" i="10"/>
  <c r="C9" i="10"/>
  <c r="M10" i="10" s="1"/>
  <c r="C118" i="10" s="1"/>
  <c r="C81" i="10"/>
  <c r="C92" i="10"/>
  <c r="C10" i="10"/>
  <c r="M11" i="10" s="1"/>
  <c r="C120" i="10" s="1"/>
  <c r="M6" i="10"/>
  <c r="C114" i="10"/>
  <c r="C8" i="10"/>
  <c r="M9" i="10" s="1"/>
  <c r="C117" i="10" s="1"/>
  <c r="C72" i="10"/>
  <c r="C11" i="10"/>
  <c r="C103" i="10"/>
  <c r="D105" i="8"/>
  <c r="C12" i="12"/>
  <c r="M12" i="12" s="1"/>
  <c r="C95" i="12" s="1"/>
  <c r="C78" i="12"/>
  <c r="C6" i="12"/>
  <c r="M6" i="12" s="1"/>
  <c r="C89" i="12" s="1"/>
  <c r="C33" i="12"/>
  <c r="C7" i="12"/>
  <c r="M7" i="12" s="1"/>
  <c r="C90" i="12" s="1"/>
  <c r="C38" i="12"/>
  <c r="C9" i="12"/>
  <c r="M9" i="12" s="1"/>
  <c r="C92" i="12" s="1"/>
  <c r="C53" i="12"/>
  <c r="C11" i="12"/>
  <c r="M11" i="12" s="1"/>
  <c r="C94" i="12" s="1"/>
  <c r="C69" i="12"/>
  <c r="C8" i="12"/>
  <c r="M8" i="12" s="1"/>
  <c r="C91" i="12" s="1"/>
  <c r="C45" i="12"/>
  <c r="C10" i="12"/>
  <c r="M10" i="12" s="1"/>
  <c r="C93" i="12" s="1"/>
  <c r="C61" i="12"/>
  <c r="G105" i="8"/>
  <c r="N9" i="12" s="1"/>
  <c r="J105" i="8"/>
  <c r="F105" i="8" s="1"/>
  <c r="C9" i="15"/>
  <c r="M9" i="15" s="1"/>
  <c r="C113" i="15" s="1"/>
  <c r="C74" i="15"/>
  <c r="C11" i="15"/>
  <c r="M11" i="15" s="1"/>
  <c r="C115" i="15" s="1"/>
  <c r="C95" i="15"/>
  <c r="D166" i="8"/>
  <c r="L184" i="8"/>
  <c r="C7" i="15"/>
  <c r="M7" i="15" s="1"/>
  <c r="C111" i="15" s="1"/>
  <c r="C56" i="15"/>
  <c r="L178" i="8"/>
  <c r="J166" i="8"/>
  <c r="F166" i="8" s="1"/>
  <c r="C8" i="15"/>
  <c r="M8" i="15" s="1"/>
  <c r="C112" i="15" s="1"/>
  <c r="C68" i="15"/>
  <c r="J175" i="8"/>
  <c r="F175" i="8" s="1"/>
  <c r="C10" i="15"/>
  <c r="M10" i="15" s="1"/>
  <c r="C114" i="15" s="1"/>
  <c r="C86" i="15"/>
  <c r="M6" i="15"/>
  <c r="C110" i="15" s="1"/>
  <c r="C46" i="15"/>
  <c r="C99" i="11"/>
  <c r="Q7" i="11"/>
  <c r="C48" i="11" s="1"/>
  <c r="C100" i="11"/>
  <c r="Q8" i="11"/>
  <c r="C60" i="11" s="1"/>
  <c r="C6" i="11"/>
  <c r="C32" i="11"/>
  <c r="C101" i="11"/>
  <c r="Q9" i="11"/>
  <c r="C70" i="11" s="1"/>
  <c r="C82" i="11"/>
  <c r="C10" i="11"/>
  <c r="J147" i="8"/>
  <c r="F147" i="8" s="1"/>
  <c r="G153" i="8"/>
  <c r="O13" i="13" s="1"/>
  <c r="D153" i="8"/>
  <c r="C8" i="13"/>
  <c r="N9" i="13" s="1"/>
  <c r="C123" i="13" s="1"/>
  <c r="C60" i="13"/>
  <c r="L123" i="8"/>
  <c r="C9" i="13"/>
  <c r="N10" i="13" s="1"/>
  <c r="C124" i="13" s="1"/>
  <c r="C71" i="13"/>
  <c r="C83" i="13"/>
  <c r="C10" i="13"/>
  <c r="N11" i="13" s="1"/>
  <c r="C125" i="13" s="1"/>
  <c r="C95" i="13"/>
  <c r="C11" i="13"/>
  <c r="N12" i="13" s="1"/>
  <c r="C126" i="13" s="1"/>
  <c r="C104" i="13"/>
  <c r="C12" i="13"/>
  <c r="N13" i="13" s="1"/>
  <c r="C127" i="13" s="1"/>
  <c r="L124" i="8"/>
  <c r="G147" i="8"/>
  <c r="O12" i="13" s="1"/>
  <c r="D147" i="8"/>
  <c r="C6" i="13"/>
  <c r="N7" i="13" s="1"/>
  <c r="C121" i="13" s="1"/>
  <c r="C47" i="13"/>
  <c r="C55" i="13"/>
  <c r="C7" i="13"/>
  <c r="N8" i="13" s="1"/>
  <c r="C122" i="13" s="1"/>
  <c r="L136" i="8"/>
  <c r="L93" i="8"/>
  <c r="AA3" i="3"/>
  <c r="L92" i="8" s="1"/>
  <c r="U3" i="3"/>
  <c r="F60" i="4"/>
  <c r="W3" i="4" s="1"/>
  <c r="J95" i="8"/>
  <c r="F95" i="8" s="1"/>
  <c r="K3" i="3"/>
  <c r="G92" i="8" s="1"/>
  <c r="I3" i="3"/>
  <c r="B9" i="7"/>
  <c r="C10" i="19" s="1"/>
  <c r="B8" i="7"/>
  <c r="C9" i="19" s="1"/>
  <c r="B7" i="7"/>
  <c r="C8" i="19" s="1"/>
  <c r="B6" i="7"/>
  <c r="C7" i="19" s="1"/>
  <c r="B5" i="7"/>
  <c r="C6" i="19" s="1"/>
  <c r="B4" i="7"/>
  <c r="C5" i="19" s="1"/>
  <c r="Y49" i="6"/>
  <c r="AA49" i="6" s="1"/>
  <c r="U49" i="6"/>
  <c r="W49" i="6" s="1"/>
  <c r="K49" i="6"/>
  <c r="I49" i="6"/>
  <c r="Y44" i="6"/>
  <c r="AA44" i="6" s="1"/>
  <c r="U44" i="6"/>
  <c r="W44" i="6" s="1"/>
  <c r="K44" i="6"/>
  <c r="I44" i="6"/>
  <c r="Y39" i="6"/>
  <c r="AA39" i="6" s="1"/>
  <c r="U39" i="6"/>
  <c r="W39" i="6" s="1"/>
  <c r="K39" i="6"/>
  <c r="I39" i="6"/>
  <c r="Y35" i="6"/>
  <c r="AA35" i="6" s="1"/>
  <c r="U35" i="6"/>
  <c r="W35" i="6" s="1"/>
  <c r="K35" i="6"/>
  <c r="I35" i="6"/>
  <c r="Y33" i="6"/>
  <c r="U33" i="6"/>
  <c r="W33" i="6" s="1"/>
  <c r="K33" i="6"/>
  <c r="I33" i="6"/>
  <c r="Y18" i="6"/>
  <c r="AA18" i="6" s="1"/>
  <c r="U18" i="6"/>
  <c r="K18" i="6"/>
  <c r="I18" i="6"/>
  <c r="Y17" i="6"/>
  <c r="AA17" i="6" s="1"/>
  <c r="U17" i="6"/>
  <c r="W17" i="6" s="1"/>
  <c r="K17" i="6"/>
  <c r="I17" i="6"/>
  <c r="Y13" i="6"/>
  <c r="AA13" i="6" s="1"/>
  <c r="U13" i="6"/>
  <c r="W13" i="6" s="1"/>
  <c r="K13" i="6"/>
  <c r="I13" i="6"/>
  <c r="Y11" i="6"/>
  <c r="AA11" i="6" s="1"/>
  <c r="U11" i="6"/>
  <c r="W11" i="6" s="1"/>
  <c r="K11" i="6"/>
  <c r="I11" i="6"/>
  <c r="Y8" i="6"/>
  <c r="AA8" i="6" s="1"/>
  <c r="U8" i="6"/>
  <c r="W8" i="6" s="1"/>
  <c r="K8" i="6"/>
  <c r="I8" i="6"/>
  <c r="Y7" i="6"/>
  <c r="W7" i="6"/>
  <c r="K7" i="6"/>
  <c r="I7" i="6"/>
  <c r="Y205" i="2"/>
  <c r="AA205" i="2" s="1"/>
  <c r="W205" i="2"/>
  <c r="K205" i="2"/>
  <c r="I205" i="2"/>
  <c r="Y204" i="2"/>
  <c r="AA204" i="2" s="1"/>
  <c r="W204" i="2"/>
  <c r="K204" i="2"/>
  <c r="I204" i="2"/>
  <c r="Y202" i="2"/>
  <c r="AA202" i="2" s="1"/>
  <c r="W202" i="2"/>
  <c r="K202" i="2"/>
  <c r="I202" i="2"/>
  <c r="Y201" i="2"/>
  <c r="U201" i="2"/>
  <c r="W201" i="2" s="1"/>
  <c r="K201" i="2"/>
  <c r="I201" i="2"/>
  <c r="AA200" i="2"/>
  <c r="U200" i="2"/>
  <c r="W200" i="2" s="1"/>
  <c r="I200" i="2"/>
  <c r="AA199" i="2"/>
  <c r="W199" i="2"/>
  <c r="K199" i="2"/>
  <c r="I199" i="2"/>
  <c r="Y197" i="2"/>
  <c r="AA197" i="2" s="1"/>
  <c r="U197" i="2"/>
  <c r="W197" i="2" s="1"/>
  <c r="K197" i="2"/>
  <c r="I197" i="2"/>
  <c r="Y195" i="2"/>
  <c r="AA195" i="2" s="1"/>
  <c r="W195" i="2"/>
  <c r="K195" i="2"/>
  <c r="I195" i="2"/>
  <c r="Y194" i="2"/>
  <c r="Y191" i="2"/>
  <c r="AA191" i="2" s="1"/>
  <c r="W191" i="2"/>
  <c r="K191" i="2"/>
  <c r="I191" i="2"/>
  <c r="Y190" i="2"/>
  <c r="AA190" i="2" s="1"/>
  <c r="W190" i="2"/>
  <c r="K190" i="2"/>
  <c r="I190" i="2"/>
  <c r="Y189" i="2"/>
  <c r="W189" i="2"/>
  <c r="K189" i="2"/>
  <c r="I189" i="2"/>
  <c r="K188" i="2"/>
  <c r="I188" i="2"/>
  <c r="Y186" i="2"/>
  <c r="AA186" i="2" s="1"/>
  <c r="K186" i="2"/>
  <c r="I186" i="2"/>
  <c r="Y185" i="2"/>
  <c r="W185" i="2"/>
  <c r="K185" i="2"/>
  <c r="I185" i="2"/>
  <c r="Y183" i="2"/>
  <c r="Y182" i="2" s="1"/>
  <c r="K183" i="2"/>
  <c r="K182" i="2" s="1"/>
  <c r="G85" i="8" s="1"/>
  <c r="I183" i="2"/>
  <c r="I182" i="2" s="1"/>
  <c r="D85" i="8" s="1"/>
  <c r="Y181" i="2"/>
  <c r="AA181" i="2" s="1"/>
  <c r="U181" i="2"/>
  <c r="W181" i="2" s="1"/>
  <c r="K181" i="2"/>
  <c r="I181" i="2"/>
  <c r="Y180" i="2"/>
  <c r="AA180" i="2" s="1"/>
  <c r="W180" i="2"/>
  <c r="K180" i="2"/>
  <c r="I180" i="2"/>
  <c r="Y178" i="2"/>
  <c r="AA178" i="2" s="1"/>
  <c r="W178" i="2"/>
  <c r="K178" i="2"/>
  <c r="I178" i="2"/>
  <c r="Y177" i="2"/>
  <c r="AA177" i="2" s="1"/>
  <c r="W177" i="2"/>
  <c r="K177" i="2"/>
  <c r="I177" i="2"/>
  <c r="Y175" i="2"/>
  <c r="AA175" i="2" s="1"/>
  <c r="W175" i="2"/>
  <c r="K175" i="2"/>
  <c r="I175" i="2"/>
  <c r="Y174" i="2"/>
  <c r="W174" i="2"/>
  <c r="K174" i="2"/>
  <c r="I174" i="2"/>
  <c r="Y172" i="2"/>
  <c r="Y170" i="2" s="1"/>
  <c r="W172" i="2"/>
  <c r="K172" i="2"/>
  <c r="I172" i="2"/>
  <c r="K171" i="2"/>
  <c r="I171" i="2"/>
  <c r="Y168" i="2"/>
  <c r="AA168" i="2" s="1"/>
  <c r="U168" i="2"/>
  <c r="W168" i="2" s="1"/>
  <c r="K168" i="2"/>
  <c r="I168" i="2"/>
  <c r="Y167" i="2"/>
  <c r="AA167" i="2" s="1"/>
  <c r="U167" i="2"/>
  <c r="W167" i="2" s="1"/>
  <c r="K167" i="2"/>
  <c r="I167" i="2"/>
  <c r="Y166" i="2"/>
  <c r="U166" i="2"/>
  <c r="K166" i="2"/>
  <c r="I166" i="2"/>
  <c r="Y158" i="2"/>
  <c r="AA158" i="2" s="1"/>
  <c r="U158" i="2"/>
  <c r="W158" i="2" s="1"/>
  <c r="K158" i="2"/>
  <c r="I158" i="2"/>
  <c r="Y157" i="2"/>
  <c r="AA157" i="2" s="1"/>
  <c r="U157" i="2"/>
  <c r="W157" i="2" s="1"/>
  <c r="K157" i="2"/>
  <c r="I157" i="2"/>
  <c r="Y156" i="2"/>
  <c r="AA156" i="2" s="1"/>
  <c r="U156" i="2"/>
  <c r="W156" i="2" s="1"/>
  <c r="K156" i="2"/>
  <c r="I156" i="2"/>
  <c r="Y155" i="2"/>
  <c r="W155" i="2"/>
  <c r="K155" i="2"/>
  <c r="I155" i="2"/>
  <c r="Y151" i="2"/>
  <c r="AA151" i="2" s="1"/>
  <c r="U151" i="2"/>
  <c r="W151" i="2" s="1"/>
  <c r="K151" i="2"/>
  <c r="I151" i="2"/>
  <c r="Y150" i="2"/>
  <c r="AA150" i="2" s="1"/>
  <c r="U150" i="2"/>
  <c r="W150" i="2" s="1"/>
  <c r="K150" i="2"/>
  <c r="I150" i="2"/>
  <c r="Y149" i="2"/>
  <c r="AA149" i="2" s="1"/>
  <c r="W149" i="2"/>
  <c r="K149" i="2"/>
  <c r="I149" i="2"/>
  <c r="Y147" i="2"/>
  <c r="AA147" i="2" s="1"/>
  <c r="W147" i="2"/>
  <c r="K147" i="2"/>
  <c r="I147" i="2"/>
  <c r="Y146" i="2"/>
  <c r="AA146" i="2" s="1"/>
  <c r="W146" i="2"/>
  <c r="K146" i="2"/>
  <c r="I146" i="2"/>
  <c r="Y144" i="2"/>
  <c r="AA144" i="2" s="1"/>
  <c r="U144" i="2"/>
  <c r="W144" i="2" s="1"/>
  <c r="K144" i="2"/>
  <c r="I144" i="2"/>
  <c r="Y143" i="2"/>
  <c r="AA143" i="2" s="1"/>
  <c r="W143" i="2"/>
  <c r="K143" i="2"/>
  <c r="I143" i="2"/>
  <c r="Y142" i="2"/>
  <c r="AA142" i="2" s="1"/>
  <c r="W142" i="2"/>
  <c r="K142" i="2"/>
  <c r="I142" i="2"/>
  <c r="Y141" i="2"/>
  <c r="W141" i="2"/>
  <c r="K141" i="2"/>
  <c r="I141" i="2"/>
  <c r="Y139" i="2"/>
  <c r="AA139" i="2" s="1"/>
  <c r="W139" i="2"/>
  <c r="K139" i="2"/>
  <c r="I139" i="2"/>
  <c r="Y137" i="2"/>
  <c r="AA137" i="2" s="1"/>
  <c r="U137" i="2"/>
  <c r="W137" i="2" s="1"/>
  <c r="K137" i="2"/>
  <c r="I137" i="2"/>
  <c r="K136" i="2"/>
  <c r="I136" i="2"/>
  <c r="Y134" i="2"/>
  <c r="AA134" i="2" s="1"/>
  <c r="W134" i="2"/>
  <c r="K134" i="2"/>
  <c r="I134" i="2"/>
  <c r="Y133" i="2"/>
  <c r="AA133" i="2" s="1"/>
  <c r="U133" i="2"/>
  <c r="W133" i="2" s="1"/>
  <c r="K133" i="2"/>
  <c r="I133" i="2"/>
  <c r="Y132" i="2"/>
  <c r="AA132" i="2" s="1"/>
  <c r="K132" i="2"/>
  <c r="I132" i="2"/>
  <c r="Y129" i="2"/>
  <c r="AA129" i="2" s="1"/>
  <c r="U129" i="2"/>
  <c r="W129" i="2" s="1"/>
  <c r="K129" i="2"/>
  <c r="I129" i="2"/>
  <c r="Y127" i="2"/>
  <c r="AA127" i="2" s="1"/>
  <c r="U127" i="2"/>
  <c r="K127" i="2"/>
  <c r="I127" i="2"/>
  <c r="Y125" i="2"/>
  <c r="AA125" i="2" s="1"/>
  <c r="AA124" i="2" s="1"/>
  <c r="L71" i="8" s="1"/>
  <c r="U125" i="2"/>
  <c r="U124" i="2" s="1"/>
  <c r="K125" i="2"/>
  <c r="K124" i="2" s="1"/>
  <c r="G71" i="8" s="1"/>
  <c r="I125" i="2"/>
  <c r="I124" i="2" s="1"/>
  <c r="D71" i="8" s="1"/>
  <c r="Y123" i="2"/>
  <c r="K123" i="2"/>
  <c r="K122" i="2" s="1"/>
  <c r="G70" i="8" s="1"/>
  <c r="I123" i="2"/>
  <c r="I122" i="2" s="1"/>
  <c r="D70" i="8" s="1"/>
  <c r="Y121" i="2"/>
  <c r="Y120" i="2" s="1"/>
  <c r="U121" i="2"/>
  <c r="U120" i="2" s="1"/>
  <c r="K121" i="2"/>
  <c r="K120" i="2" s="1"/>
  <c r="I121" i="2"/>
  <c r="I120" i="2" s="1"/>
  <c r="Y108" i="2"/>
  <c r="AA108" i="2" s="1"/>
  <c r="U108" i="2"/>
  <c r="W108" i="2" s="1"/>
  <c r="K108" i="2"/>
  <c r="I108" i="2"/>
  <c r="Y107" i="2"/>
  <c r="U107" i="2"/>
  <c r="K107" i="2"/>
  <c r="I107" i="2"/>
  <c r="Y104" i="2"/>
  <c r="AA104" i="2" s="1"/>
  <c r="U104" i="2"/>
  <c r="W104" i="2" s="1"/>
  <c r="K104" i="2"/>
  <c r="I104" i="2"/>
  <c r="Y103" i="2"/>
  <c r="AA103" i="2" s="1"/>
  <c r="U103" i="2"/>
  <c r="W103" i="2" s="1"/>
  <c r="K103" i="2"/>
  <c r="I103" i="2"/>
  <c r="Y102" i="2"/>
  <c r="AA102" i="2" s="1"/>
  <c r="W102" i="2"/>
  <c r="K102" i="2"/>
  <c r="I102" i="2"/>
  <c r="M100" i="2"/>
  <c r="K100" i="2"/>
  <c r="K96" i="2"/>
  <c r="I96" i="2"/>
  <c r="K95" i="2"/>
  <c r="I95" i="2"/>
  <c r="AA93" i="2"/>
  <c r="Y90" i="2"/>
  <c r="AA90" i="2" s="1"/>
  <c r="U90" i="2"/>
  <c r="W90" i="2" s="1"/>
  <c r="K90" i="2"/>
  <c r="I90" i="2"/>
  <c r="AA89" i="2"/>
  <c r="W89" i="2"/>
  <c r="K89" i="2"/>
  <c r="I89" i="2"/>
  <c r="AA88" i="2"/>
  <c r="W88" i="2"/>
  <c r="K88" i="2"/>
  <c r="I88" i="2"/>
  <c r="Y87" i="2"/>
  <c r="AA87" i="2" s="1"/>
  <c r="U87" i="2"/>
  <c r="W87" i="2" s="1"/>
  <c r="K87" i="2"/>
  <c r="I87" i="2"/>
  <c r="Y86" i="2"/>
  <c r="AA86" i="2" s="1"/>
  <c r="W86" i="2"/>
  <c r="K86" i="2"/>
  <c r="I86" i="2"/>
  <c r="Y81" i="2"/>
  <c r="AA81" i="2" s="1"/>
  <c r="U81" i="2"/>
  <c r="W81" i="2" s="1"/>
  <c r="K81" i="2"/>
  <c r="I81" i="2"/>
  <c r="Y79" i="2"/>
  <c r="AA79" i="2" s="1"/>
  <c r="U79" i="2"/>
  <c r="W79" i="2" s="1"/>
  <c r="K79" i="2"/>
  <c r="I79" i="2"/>
  <c r="Y76" i="2"/>
  <c r="AA76" i="2" s="1"/>
  <c r="U76" i="2"/>
  <c r="W76" i="2" s="1"/>
  <c r="K76" i="2"/>
  <c r="I76" i="2"/>
  <c r="Y75" i="2"/>
  <c r="AA75" i="2" s="1"/>
  <c r="U75" i="2"/>
  <c r="W75" i="2" s="1"/>
  <c r="K75" i="2"/>
  <c r="I75" i="2"/>
  <c r="Y74" i="2"/>
  <c r="K74" i="2"/>
  <c r="I74" i="2"/>
  <c r="Y72" i="2"/>
  <c r="AA72" i="2" s="1"/>
  <c r="W72" i="2"/>
  <c r="K72" i="2"/>
  <c r="I72" i="2"/>
  <c r="Y71" i="2"/>
  <c r="AA71" i="2" s="1"/>
  <c r="W71" i="2"/>
  <c r="K71" i="2"/>
  <c r="I71" i="2"/>
  <c r="Y70" i="2"/>
  <c r="AA70" i="2" s="1"/>
  <c r="U70" i="2"/>
  <c r="W70" i="2" s="1"/>
  <c r="K70" i="2"/>
  <c r="I70" i="2"/>
  <c r="Y69" i="2"/>
  <c r="AA69" i="2" s="1"/>
  <c r="U69" i="2"/>
  <c r="W69" i="2" s="1"/>
  <c r="K69" i="2"/>
  <c r="I69" i="2"/>
  <c r="Y66" i="2"/>
  <c r="AA66" i="2" s="1"/>
  <c r="U66" i="2"/>
  <c r="W66" i="2" s="1"/>
  <c r="K66" i="2"/>
  <c r="I66" i="2"/>
  <c r="K64" i="2"/>
  <c r="I64" i="2"/>
  <c r="K63" i="2"/>
  <c r="I63" i="2"/>
  <c r="Y62" i="2"/>
  <c r="AA62" i="2" s="1"/>
  <c r="U62" i="2"/>
  <c r="W62" i="2" s="1"/>
  <c r="K62" i="2"/>
  <c r="I62" i="2"/>
  <c r="AA61" i="2"/>
  <c r="U61" i="2"/>
  <c r="W61" i="2" s="1"/>
  <c r="K61" i="2"/>
  <c r="I61" i="2"/>
  <c r="K59" i="2"/>
  <c r="I59" i="2"/>
  <c r="Y58" i="2"/>
  <c r="AA58" i="2" s="1"/>
  <c r="U58" i="2"/>
  <c r="W58" i="2" s="1"/>
  <c r="K58" i="2"/>
  <c r="I58" i="2"/>
  <c r="Y57" i="2"/>
  <c r="U57" i="2"/>
  <c r="K57" i="2"/>
  <c r="I57" i="2"/>
  <c r="U55" i="2"/>
  <c r="W55" i="2" s="1"/>
  <c r="W52" i="2" s="1"/>
  <c r="K55" i="2"/>
  <c r="I55" i="2"/>
  <c r="K54" i="2"/>
  <c r="I54" i="2"/>
  <c r="K53" i="2"/>
  <c r="I53" i="2"/>
  <c r="J56" i="8"/>
  <c r="F56" i="8" s="1"/>
  <c r="Y47" i="2"/>
  <c r="AA47" i="2" s="1"/>
  <c r="U47" i="2"/>
  <c r="W47" i="2" s="1"/>
  <c r="K47" i="2"/>
  <c r="I47" i="2"/>
  <c r="Y46" i="2"/>
  <c r="AA46" i="2" s="1"/>
  <c r="U46" i="2"/>
  <c r="W46" i="2" s="1"/>
  <c r="K46" i="2"/>
  <c r="I46" i="2"/>
  <c r="Y45" i="2"/>
  <c r="AA45" i="2" s="1"/>
  <c r="U45" i="2"/>
  <c r="W45" i="2" s="1"/>
  <c r="K45" i="2"/>
  <c r="I45" i="2"/>
  <c r="Y44" i="2"/>
  <c r="AA44" i="2" s="1"/>
  <c r="K44" i="2"/>
  <c r="I44" i="2"/>
  <c r="I42" i="2"/>
  <c r="Y41" i="2"/>
  <c r="AA41" i="2" s="1"/>
  <c r="U41" i="2"/>
  <c r="W41" i="2" s="1"/>
  <c r="I41" i="2"/>
  <c r="Y40" i="2"/>
  <c r="W40" i="2"/>
  <c r="I40" i="2"/>
  <c r="Y36" i="2"/>
  <c r="AA36" i="2" s="1"/>
  <c r="U36" i="2"/>
  <c r="W36" i="2" s="1"/>
  <c r="K36" i="2"/>
  <c r="I36" i="2"/>
  <c r="Y35" i="2"/>
  <c r="W35" i="2"/>
  <c r="K35" i="2"/>
  <c r="I35" i="2"/>
  <c r="K33" i="2"/>
  <c r="I33" i="2"/>
  <c r="K32" i="2"/>
  <c r="I32" i="2"/>
  <c r="W31" i="2"/>
  <c r="K31" i="2"/>
  <c r="I31" i="2"/>
  <c r="K30" i="2"/>
  <c r="Y28" i="2"/>
  <c r="AA28" i="2" s="1"/>
  <c r="W28" i="2"/>
  <c r="K28" i="2"/>
  <c r="I28" i="2"/>
  <c r="Y27" i="2"/>
  <c r="AA27" i="2" s="1"/>
  <c r="W27" i="2"/>
  <c r="K27" i="2"/>
  <c r="I27" i="2"/>
  <c r="Y26" i="2"/>
  <c r="AA26" i="2" s="1"/>
  <c r="W26" i="2"/>
  <c r="K26" i="2"/>
  <c r="I26" i="2"/>
  <c r="Y25" i="2"/>
  <c r="AA25" i="2" s="1"/>
  <c r="U25" i="2"/>
  <c r="W25" i="2" s="1"/>
  <c r="K25" i="2"/>
  <c r="I25" i="2"/>
  <c r="Y24" i="2"/>
  <c r="AA24" i="2" s="1"/>
  <c r="W24" i="2"/>
  <c r="I24" i="2"/>
  <c r="Y23" i="2"/>
  <c r="AA23" i="2" s="1"/>
  <c r="W23" i="2"/>
  <c r="K23" i="2"/>
  <c r="I23" i="2"/>
  <c r="AA22" i="2"/>
  <c r="W22" i="2"/>
  <c r="K22" i="2"/>
  <c r="I22" i="2"/>
  <c r="Y20" i="2"/>
  <c r="AA20" i="2" s="1"/>
  <c r="W20" i="2"/>
  <c r="K20" i="2"/>
  <c r="I20" i="2"/>
  <c r="Y19" i="2"/>
  <c r="AA19" i="2" s="1"/>
  <c r="W19" i="2"/>
  <c r="K19" i="2"/>
  <c r="I19" i="2"/>
  <c r="Y18" i="2"/>
  <c r="AA18" i="2" s="1"/>
  <c r="U18" i="2"/>
  <c r="W18" i="2" s="1"/>
  <c r="K18" i="2"/>
  <c r="I18" i="2"/>
  <c r="Y17" i="2"/>
  <c r="Z17" i="2" s="1"/>
  <c r="U17" i="2"/>
  <c r="Y14" i="2"/>
  <c r="AA14" i="2" s="1"/>
  <c r="U14" i="2"/>
  <c r="K14" i="2"/>
  <c r="K12" i="2" s="1"/>
  <c r="I14" i="2"/>
  <c r="Y13" i="2"/>
  <c r="W13" i="2"/>
  <c r="I13" i="2"/>
  <c r="Y11" i="2"/>
  <c r="AA11" i="2" s="1"/>
  <c r="U11" i="2"/>
  <c r="W11" i="2" s="1"/>
  <c r="K11" i="2"/>
  <c r="I11" i="2"/>
  <c r="Y10" i="2"/>
  <c r="AA10" i="2" s="1"/>
  <c r="W10" i="2"/>
  <c r="K10" i="2"/>
  <c r="I10" i="2"/>
  <c r="Y9" i="2"/>
  <c r="AA9" i="2" s="1"/>
  <c r="U9" i="2"/>
  <c r="W9" i="2" s="1"/>
  <c r="K9" i="2"/>
  <c r="I9" i="2"/>
  <c r="Y8" i="2"/>
  <c r="AA8" i="2" s="1"/>
  <c r="U8" i="2"/>
  <c r="K8" i="2"/>
  <c r="I8" i="2"/>
  <c r="Y211" i="1"/>
  <c r="AA211" i="1" s="1"/>
  <c r="W211" i="1"/>
  <c r="W209" i="1" s="1"/>
  <c r="K211" i="1"/>
  <c r="I211" i="1"/>
  <c r="Y210" i="1"/>
  <c r="K210" i="1"/>
  <c r="I210" i="1"/>
  <c r="Y208" i="1"/>
  <c r="AA208" i="1" s="1"/>
  <c r="U208" i="1"/>
  <c r="K208" i="1"/>
  <c r="I208" i="1"/>
  <c r="Y207" i="1"/>
  <c r="U207" i="1"/>
  <c r="W207" i="1" s="1"/>
  <c r="K207" i="1"/>
  <c r="I207" i="1"/>
  <c r="Y205" i="1"/>
  <c r="AA205" i="1" s="1"/>
  <c r="U205" i="1"/>
  <c r="W205" i="1" s="1"/>
  <c r="K205" i="1"/>
  <c r="I205" i="1"/>
  <c r="Y204" i="1"/>
  <c r="U204" i="1"/>
  <c r="W204" i="1" s="1"/>
  <c r="K204" i="1"/>
  <c r="I204" i="1"/>
  <c r="Y201" i="1"/>
  <c r="AA201" i="1" s="1"/>
  <c r="U201" i="1"/>
  <c r="W201" i="1" s="1"/>
  <c r="K201" i="1"/>
  <c r="I201" i="1"/>
  <c r="Y200" i="1"/>
  <c r="AA200" i="1" s="1"/>
  <c r="K200" i="1"/>
  <c r="I200" i="1"/>
  <c r="Y198" i="1"/>
  <c r="AA198" i="1" s="1"/>
  <c r="K198" i="1"/>
  <c r="I198" i="1"/>
  <c r="Y197" i="1"/>
  <c r="AA197" i="1" s="1"/>
  <c r="U197" i="1"/>
  <c r="W197" i="1" s="1"/>
  <c r="K197" i="1"/>
  <c r="I197" i="1"/>
  <c r="Y196" i="1"/>
  <c r="AA196" i="1" s="1"/>
  <c r="U196" i="1"/>
  <c r="W196" i="1" s="1"/>
  <c r="K196" i="1"/>
  <c r="I196" i="1"/>
  <c r="U193" i="1"/>
  <c r="K193" i="1"/>
  <c r="I193" i="1"/>
  <c r="Y191" i="1"/>
  <c r="AA191" i="1" s="1"/>
  <c r="W191" i="1"/>
  <c r="K191" i="1"/>
  <c r="I191" i="1"/>
  <c r="Y190" i="1"/>
  <c r="AA190" i="1" s="1"/>
  <c r="W190" i="1"/>
  <c r="K190" i="1"/>
  <c r="I190" i="1"/>
  <c r="Y189" i="1"/>
  <c r="AA189" i="1" s="1"/>
  <c r="W189" i="1"/>
  <c r="K189" i="1"/>
  <c r="I189" i="1"/>
  <c r="Y187" i="1"/>
  <c r="AA187" i="1" s="1"/>
  <c r="K187" i="1"/>
  <c r="I187" i="1"/>
  <c r="Y185" i="1"/>
  <c r="Y184" i="1" s="1"/>
  <c r="U185" i="1"/>
  <c r="U184" i="1" s="1"/>
  <c r="K185" i="1"/>
  <c r="K184" i="1" s="1"/>
  <c r="G38" i="8" s="1"/>
  <c r="I185" i="1"/>
  <c r="I184" i="1" s="1"/>
  <c r="D38" i="8" s="1"/>
  <c r="Y183" i="1"/>
  <c r="AA183" i="1" s="1"/>
  <c r="U183" i="1"/>
  <c r="W183" i="1" s="1"/>
  <c r="K183" i="1"/>
  <c r="Y182" i="1"/>
  <c r="AA182" i="1" s="1"/>
  <c r="U182" i="1"/>
  <c r="W182" i="1" s="1"/>
  <c r="K182" i="1"/>
  <c r="I182" i="1"/>
  <c r="Y181" i="1"/>
  <c r="AA181" i="1" s="1"/>
  <c r="U181" i="1"/>
  <c r="W181" i="1" s="1"/>
  <c r="K181" i="1"/>
  <c r="I181" i="1"/>
  <c r="Y180" i="1"/>
  <c r="U180" i="1"/>
  <c r="W180" i="1" s="1"/>
  <c r="I180" i="1"/>
  <c r="Y177" i="1"/>
  <c r="W177" i="1"/>
  <c r="K177" i="1"/>
  <c r="I177" i="1"/>
  <c r="Y176" i="1"/>
  <c r="AA176" i="1" s="1"/>
  <c r="K176" i="1"/>
  <c r="K172" i="1"/>
  <c r="AA173" i="1"/>
  <c r="Y165" i="1"/>
  <c r="AA165" i="1" s="1"/>
  <c r="U165" i="1"/>
  <c r="W165" i="1" s="1"/>
  <c r="K165" i="1"/>
  <c r="I165" i="1"/>
  <c r="Y164" i="1"/>
  <c r="AA164" i="1" s="1"/>
  <c r="U164" i="1"/>
  <c r="W164" i="1" s="1"/>
  <c r="K164" i="1"/>
  <c r="I164" i="1"/>
  <c r="Y163" i="1"/>
  <c r="AA163" i="1" s="1"/>
  <c r="U163" i="1"/>
  <c r="W163" i="1" s="1"/>
  <c r="K163" i="1"/>
  <c r="I163" i="1"/>
  <c r="Y162" i="1"/>
  <c r="AA162" i="1" s="1"/>
  <c r="W162" i="1"/>
  <c r="K162" i="1"/>
  <c r="I162" i="1"/>
  <c r="Y161" i="1"/>
  <c r="AA161" i="1" s="1"/>
  <c r="K161" i="1"/>
  <c r="I161" i="1"/>
  <c r="Y158" i="1"/>
  <c r="AA158" i="1" s="1"/>
  <c r="U158" i="1"/>
  <c r="W158" i="1" s="1"/>
  <c r="K158" i="1"/>
  <c r="I158" i="1"/>
  <c r="Y155" i="1"/>
  <c r="AA155" i="1" s="1"/>
  <c r="W155" i="1"/>
  <c r="K155" i="1"/>
  <c r="I155" i="1"/>
  <c r="U151" i="1"/>
  <c r="W151" i="1" s="1"/>
  <c r="F151" i="1"/>
  <c r="Y150" i="1"/>
  <c r="AA150" i="1" s="1"/>
  <c r="W150" i="1"/>
  <c r="K150" i="1"/>
  <c r="I150" i="1"/>
  <c r="Y149" i="1"/>
  <c r="U149" i="1"/>
  <c r="W149" i="1" s="1"/>
  <c r="K149" i="1"/>
  <c r="I149" i="1"/>
  <c r="Y146" i="1"/>
  <c r="AA146" i="1" s="1"/>
  <c r="U146" i="1"/>
  <c r="W146" i="1" s="1"/>
  <c r="K146" i="1"/>
  <c r="I146" i="1"/>
  <c r="Y145" i="1"/>
  <c r="AA145" i="1" s="1"/>
  <c r="U145" i="1"/>
  <c r="W145" i="1" s="1"/>
  <c r="K145" i="1"/>
  <c r="I145" i="1"/>
  <c r="Y144" i="1"/>
  <c r="U144" i="1"/>
  <c r="K144" i="1"/>
  <c r="I144" i="1"/>
  <c r="Y142" i="1"/>
  <c r="AA142" i="1" s="1"/>
  <c r="U142" i="1"/>
  <c r="W142" i="1" s="1"/>
  <c r="K142" i="1"/>
  <c r="I142" i="1"/>
  <c r="Y141" i="1"/>
  <c r="AA141" i="1" s="1"/>
  <c r="W141" i="1"/>
  <c r="K141" i="1"/>
  <c r="I141" i="1"/>
  <c r="Y139" i="1"/>
  <c r="AA139" i="1" s="1"/>
  <c r="U139" i="1"/>
  <c r="W139" i="1" s="1"/>
  <c r="K139" i="1"/>
  <c r="I139" i="1"/>
  <c r="Y137" i="1"/>
  <c r="AA137" i="1" s="1"/>
  <c r="W137" i="1"/>
  <c r="K137" i="1"/>
  <c r="I137" i="1"/>
  <c r="Y135" i="1"/>
  <c r="AA135" i="1" s="1"/>
  <c r="U135" i="1"/>
  <c r="W135" i="1" s="1"/>
  <c r="K135" i="1"/>
  <c r="I135" i="1"/>
  <c r="Y134" i="1"/>
  <c r="Z134" i="1" s="1"/>
  <c r="U134" i="1"/>
  <c r="W134" i="1" s="1"/>
  <c r="K134" i="1"/>
  <c r="I134" i="1"/>
  <c r="Y133" i="1"/>
  <c r="U133" i="1"/>
  <c r="W133" i="1" s="1"/>
  <c r="K133" i="1"/>
  <c r="I133" i="1"/>
  <c r="AA132" i="1"/>
  <c r="W132" i="1"/>
  <c r="K132" i="1"/>
  <c r="I132" i="1"/>
  <c r="Y127" i="1"/>
  <c r="U127" i="1"/>
  <c r="K127" i="1"/>
  <c r="I127" i="1"/>
  <c r="K124" i="1"/>
  <c r="I124" i="1"/>
  <c r="U123" i="1"/>
  <c r="W123" i="1" s="1"/>
  <c r="Y123" i="1"/>
  <c r="AA123" i="1" s="1"/>
  <c r="K123" i="1"/>
  <c r="I123" i="1"/>
  <c r="Y122" i="1"/>
  <c r="AA122" i="1" s="1"/>
  <c r="U122" i="1"/>
  <c r="W122" i="1" s="1"/>
  <c r="K122" i="1"/>
  <c r="I122" i="1"/>
  <c r="Y121" i="1"/>
  <c r="AA121" i="1" s="1"/>
  <c r="U121" i="1"/>
  <c r="W121" i="1" s="1"/>
  <c r="K121" i="1"/>
  <c r="I121" i="1"/>
  <c r="W120" i="1"/>
  <c r="K120" i="1"/>
  <c r="I120" i="1"/>
  <c r="K119" i="1"/>
  <c r="I119" i="1"/>
  <c r="Y118" i="1"/>
  <c r="AA118" i="1" s="1"/>
  <c r="U118" i="1"/>
  <c r="W118" i="1" s="1"/>
  <c r="K118" i="1"/>
  <c r="I118" i="1"/>
  <c r="Y117" i="1"/>
  <c r="AA117" i="1" s="1"/>
  <c r="U117" i="1"/>
  <c r="W117" i="1" s="1"/>
  <c r="K117" i="1"/>
  <c r="I117" i="1"/>
  <c r="U116" i="1"/>
  <c r="W116" i="1" s="1"/>
  <c r="K116" i="1"/>
  <c r="I116" i="1"/>
  <c r="K115" i="1"/>
  <c r="I115" i="1"/>
  <c r="W114" i="1"/>
  <c r="K114" i="1"/>
  <c r="I114" i="1"/>
  <c r="Y113" i="1"/>
  <c r="AA113" i="1" s="1"/>
  <c r="U113" i="1"/>
  <c r="W113" i="1" s="1"/>
  <c r="K113" i="1"/>
  <c r="I113" i="1"/>
  <c r="U112" i="1"/>
  <c r="W112" i="1" s="1"/>
  <c r="F112" i="1"/>
  <c r="F111" i="1"/>
  <c r="W110" i="1"/>
  <c r="F110" i="1"/>
  <c r="F109" i="1"/>
  <c r="W108" i="1"/>
  <c r="F108" i="1"/>
  <c r="Y107" i="1"/>
  <c r="AA107" i="1" s="1"/>
  <c r="U107" i="1"/>
  <c r="W107" i="1" s="1"/>
  <c r="K107" i="1"/>
  <c r="I107" i="1"/>
  <c r="Y106" i="1"/>
  <c r="U106" i="1"/>
  <c r="I106" i="1"/>
  <c r="AA103" i="1"/>
  <c r="K103" i="1"/>
  <c r="K102" i="1" s="1"/>
  <c r="I103" i="1"/>
  <c r="I102" i="1" s="1"/>
  <c r="D23" i="8" s="1"/>
  <c r="Y101" i="1"/>
  <c r="Y99" i="1" s="1"/>
  <c r="K101" i="1"/>
  <c r="K100" i="1"/>
  <c r="I100" i="1"/>
  <c r="Y97" i="1"/>
  <c r="AA97" i="1" s="1"/>
  <c r="U97" i="1"/>
  <c r="W97" i="1" s="1"/>
  <c r="K97" i="1"/>
  <c r="I97" i="1"/>
  <c r="Y96" i="1"/>
  <c r="AA96" i="1" s="1"/>
  <c r="U96" i="1"/>
  <c r="W96" i="1" s="1"/>
  <c r="K96" i="1"/>
  <c r="I96" i="1"/>
  <c r="Y95" i="1"/>
  <c r="Z95" i="1" s="1"/>
  <c r="U95" i="1"/>
  <c r="W95" i="1" s="1"/>
  <c r="I95" i="1"/>
  <c r="Y94" i="1"/>
  <c r="AA94" i="1" s="1"/>
  <c r="W94" i="1"/>
  <c r="K94" i="1"/>
  <c r="I94" i="1"/>
  <c r="K93" i="1"/>
  <c r="I93" i="1"/>
  <c r="Y89" i="1"/>
  <c r="AA89" i="1" s="1"/>
  <c r="U89" i="1"/>
  <c r="W89" i="1" s="1"/>
  <c r="K89" i="1"/>
  <c r="I89" i="1"/>
  <c r="Y86" i="1"/>
  <c r="AA86" i="1" s="1"/>
  <c r="U86" i="1"/>
  <c r="W86" i="1" s="1"/>
  <c r="K86" i="1"/>
  <c r="I86" i="1"/>
  <c r="Y84" i="1"/>
  <c r="AA84" i="1" s="1"/>
  <c r="U84" i="1"/>
  <c r="W84" i="1" s="1"/>
  <c r="K84" i="1"/>
  <c r="I84" i="1"/>
  <c r="Y83" i="1"/>
  <c r="AA83" i="1" s="1"/>
  <c r="U83" i="1"/>
  <c r="W83" i="1" s="1"/>
  <c r="K83" i="1"/>
  <c r="I83" i="1"/>
  <c r="Y82" i="1"/>
  <c r="U82" i="1"/>
  <c r="W82" i="1" s="1"/>
  <c r="K82" i="1"/>
  <c r="I82" i="1"/>
  <c r="K79" i="1"/>
  <c r="I79" i="1"/>
  <c r="Y73" i="1"/>
  <c r="AA73" i="1" s="1"/>
  <c r="U73" i="1"/>
  <c r="W73" i="1" s="1"/>
  <c r="K73" i="1"/>
  <c r="I73" i="1"/>
  <c r="Y71" i="1"/>
  <c r="AA71" i="1" s="1"/>
  <c r="U71" i="1"/>
  <c r="W71" i="1" s="1"/>
  <c r="K71" i="1"/>
  <c r="I71" i="1"/>
  <c r="Y70" i="1"/>
  <c r="AA70" i="1" s="1"/>
  <c r="U70" i="1"/>
  <c r="W70" i="1" s="1"/>
  <c r="K70" i="1"/>
  <c r="I70" i="1"/>
  <c r="Y69" i="1"/>
  <c r="AA69" i="1" s="1"/>
  <c r="U69" i="1"/>
  <c r="W69" i="1" s="1"/>
  <c r="K69" i="1"/>
  <c r="I69" i="1"/>
  <c r="K68" i="1"/>
  <c r="I68" i="1"/>
  <c r="K67" i="1"/>
  <c r="I67" i="1"/>
  <c r="K66" i="1"/>
  <c r="I66" i="1"/>
  <c r="Y62" i="1"/>
  <c r="AA62" i="1" s="1"/>
  <c r="U62" i="1"/>
  <c r="W62" i="1" s="1"/>
  <c r="I62" i="1"/>
  <c r="Y61" i="1"/>
  <c r="AA61" i="1" s="1"/>
  <c r="U61" i="1"/>
  <c r="W61" i="1" s="1"/>
  <c r="K61" i="1"/>
  <c r="I61" i="1"/>
  <c r="Y60" i="1"/>
  <c r="AA60" i="1" s="1"/>
  <c r="U60" i="1"/>
  <c r="W60" i="1" s="1"/>
  <c r="K60" i="1"/>
  <c r="I60" i="1"/>
  <c r="Y59" i="1"/>
  <c r="U59" i="1"/>
  <c r="W59" i="1" s="1"/>
  <c r="K59" i="1"/>
  <c r="I59" i="1"/>
  <c r="Y56" i="1"/>
  <c r="AA56" i="1" s="1"/>
  <c r="U56" i="1"/>
  <c r="W56" i="1" s="1"/>
  <c r="K56" i="1"/>
  <c r="I56" i="1"/>
  <c r="Y55" i="1"/>
  <c r="W55" i="1"/>
  <c r="K55" i="1"/>
  <c r="I55" i="1"/>
  <c r="Y51" i="1"/>
  <c r="Z51" i="1" s="1"/>
  <c r="U51" i="1"/>
  <c r="W51" i="1" s="1"/>
  <c r="K51" i="1"/>
  <c r="I51" i="1"/>
  <c r="Y47" i="1"/>
  <c r="AA47" i="1" s="1"/>
  <c r="U47" i="1"/>
  <c r="W47" i="1" s="1"/>
  <c r="K47" i="1"/>
  <c r="I47" i="1"/>
  <c r="Y45" i="1"/>
  <c r="U45" i="1"/>
  <c r="W45" i="1" s="1"/>
  <c r="K45" i="1"/>
  <c r="I45" i="1"/>
  <c r="AA43" i="1"/>
  <c r="W43" i="1"/>
  <c r="K43" i="1"/>
  <c r="I43" i="1"/>
  <c r="Y42" i="1"/>
  <c r="AA42" i="1" s="1"/>
  <c r="U42" i="1"/>
  <c r="W42" i="1" s="1"/>
  <c r="K42" i="1"/>
  <c r="I42" i="1"/>
  <c r="Y41" i="1"/>
  <c r="AA41" i="1" s="1"/>
  <c r="W41" i="1"/>
  <c r="K41" i="1"/>
  <c r="I41" i="1"/>
  <c r="Y40" i="1"/>
  <c r="U40" i="1"/>
  <c r="K40" i="1"/>
  <c r="I40" i="1"/>
  <c r="Y38" i="1"/>
  <c r="AA38" i="1" s="1"/>
  <c r="U38" i="1"/>
  <c r="K38" i="1"/>
  <c r="I38" i="1"/>
  <c r="Y37" i="1"/>
  <c r="W37" i="1"/>
  <c r="K37" i="1"/>
  <c r="I37" i="1"/>
  <c r="Y35" i="1"/>
  <c r="AA35" i="1" s="1"/>
  <c r="U35" i="1"/>
  <c r="K35" i="1"/>
  <c r="I35" i="1"/>
  <c r="Y34" i="1"/>
  <c r="AA34" i="1" s="1"/>
  <c r="W34" i="1"/>
  <c r="K34" i="1"/>
  <c r="Y33" i="1"/>
  <c r="K33" i="1"/>
  <c r="I33" i="1"/>
  <c r="Y30" i="1"/>
  <c r="AA30" i="1" s="1"/>
  <c r="U30" i="1"/>
  <c r="W30" i="1" s="1"/>
  <c r="K30" i="1"/>
  <c r="I30" i="1"/>
  <c r="Y29" i="1"/>
  <c r="AA29" i="1" s="1"/>
  <c r="U29" i="1"/>
  <c r="W29" i="1" s="1"/>
  <c r="K29" i="1"/>
  <c r="I29" i="1"/>
  <c r="Y28" i="1"/>
  <c r="W28" i="1"/>
  <c r="K28" i="1"/>
  <c r="I28" i="1"/>
  <c r="AA25" i="1"/>
  <c r="AA23" i="1" s="1"/>
  <c r="L9" i="8" s="1"/>
  <c r="K25" i="1"/>
  <c r="I25" i="1"/>
  <c r="U24" i="1"/>
  <c r="W24" i="1" s="1"/>
  <c r="K24" i="1"/>
  <c r="I24" i="1"/>
  <c r="Y22" i="1"/>
  <c r="AA22" i="1" s="1"/>
  <c r="W22" i="1"/>
  <c r="K22" i="1"/>
  <c r="I22" i="1"/>
  <c r="Y21" i="1"/>
  <c r="AA21" i="1" s="1"/>
  <c r="U21" i="1"/>
  <c r="W21" i="1" s="1"/>
  <c r="K21" i="1"/>
  <c r="I21" i="1"/>
  <c r="Y20" i="1"/>
  <c r="AA20" i="1" s="1"/>
  <c r="U20" i="1"/>
  <c r="W20" i="1" s="1"/>
  <c r="K20" i="1"/>
  <c r="I20" i="1"/>
  <c r="Y19" i="1"/>
  <c r="W19" i="1"/>
  <c r="K19" i="1"/>
  <c r="I19" i="1"/>
  <c r="AA18" i="1"/>
  <c r="U18" i="1"/>
  <c r="W18" i="1" s="1"/>
  <c r="K18" i="1"/>
  <c r="I18" i="1"/>
  <c r="I17" i="1"/>
  <c r="Y15" i="1"/>
  <c r="U15" i="1"/>
  <c r="I15" i="1"/>
  <c r="AA14" i="1"/>
  <c r="U14" i="1"/>
  <c r="W14" i="1" s="1"/>
  <c r="W12" i="1" s="1"/>
  <c r="I14" i="1"/>
  <c r="Y9" i="1"/>
  <c r="Y5" i="1" s="1"/>
  <c r="K9" i="1"/>
  <c r="I9" i="1"/>
  <c r="AA8" i="1"/>
  <c r="K8" i="1"/>
  <c r="I8" i="1"/>
  <c r="T100" i="2" l="1"/>
  <c r="Z100" i="2" s="1"/>
  <c r="Z92" i="2" s="1"/>
  <c r="Y151" i="1"/>
  <c r="Z151" i="1"/>
  <c r="K194" i="8"/>
  <c r="E98" i="15" s="1"/>
  <c r="Z109" i="5"/>
  <c r="Z3" i="5" s="1"/>
  <c r="K161" i="8" s="1"/>
  <c r="E5" i="15" s="1"/>
  <c r="AA134" i="1"/>
  <c r="I412" i="18"/>
  <c r="I444" i="18"/>
  <c r="Z15" i="2"/>
  <c r="Y193" i="2"/>
  <c r="I209" i="1"/>
  <c r="D45" i="8" s="1"/>
  <c r="AA77" i="2"/>
  <c r="L62" i="8" s="1"/>
  <c r="AA51" i="1"/>
  <c r="Y77" i="1"/>
  <c r="J18" i="8" s="1"/>
  <c r="F18" i="8" s="1"/>
  <c r="AA194" i="2"/>
  <c r="AA193" i="2" s="1"/>
  <c r="K67" i="8"/>
  <c r="E60" i="10" s="1"/>
  <c r="K92" i="8"/>
  <c r="E5" i="12" s="1"/>
  <c r="E71" i="12"/>
  <c r="K116" i="8"/>
  <c r="E53" i="12"/>
  <c r="E9" i="12"/>
  <c r="E89" i="15"/>
  <c r="K184" i="8"/>
  <c r="E64" i="15"/>
  <c r="K166" i="8"/>
  <c r="I623" i="18"/>
  <c r="Y5" i="6"/>
  <c r="Z5" i="6" s="1"/>
  <c r="Z4" i="6" s="1"/>
  <c r="AA33" i="6"/>
  <c r="AA31" i="6" s="1"/>
  <c r="L204" i="8" s="1"/>
  <c r="AB3" i="5"/>
  <c r="M161" i="8" s="1"/>
  <c r="R8" i="7" s="1"/>
  <c r="M191" i="8"/>
  <c r="J161" i="8"/>
  <c r="F161" i="8" s="1"/>
  <c r="D5" i="15" s="1"/>
  <c r="E78" i="15"/>
  <c r="K178" i="8"/>
  <c r="Y44" i="1"/>
  <c r="Z44" i="1" s="1"/>
  <c r="AA19" i="1"/>
  <c r="AA16" i="1" s="1"/>
  <c r="L8" i="8" s="1"/>
  <c r="Y16" i="1"/>
  <c r="J8" i="8" s="1"/>
  <c r="F8" i="8" s="1"/>
  <c r="I5" i="6"/>
  <c r="M194" i="8"/>
  <c r="D98" i="15" s="1"/>
  <c r="K203" i="2"/>
  <c r="G91" i="8" s="1"/>
  <c r="I14" i="6"/>
  <c r="K14" i="6"/>
  <c r="J191" i="8"/>
  <c r="F191" i="8" s="1"/>
  <c r="D11" i="15" s="1"/>
  <c r="F194" i="8"/>
  <c r="Y12" i="2"/>
  <c r="J49" i="8" s="1"/>
  <c r="F49" i="8" s="1"/>
  <c r="W173" i="2"/>
  <c r="W131" i="2"/>
  <c r="F110" i="8"/>
  <c r="D10" i="12" s="1"/>
  <c r="F7" i="7"/>
  <c r="D8" i="19" s="1"/>
  <c r="F8" i="19" s="1"/>
  <c r="D5" i="13"/>
  <c r="O7" i="7"/>
  <c r="O6" i="13"/>
  <c r="K110" i="1"/>
  <c r="L110" i="1"/>
  <c r="J110" i="1"/>
  <c r="Z110" i="1"/>
  <c r="L112" i="1"/>
  <c r="J112" i="1"/>
  <c r="Z112" i="1"/>
  <c r="K191" i="8"/>
  <c r="O6" i="7"/>
  <c r="N5" i="12"/>
  <c r="L151" i="1"/>
  <c r="L148" i="1" s="1"/>
  <c r="J151" i="1"/>
  <c r="J148" i="1" s="1"/>
  <c r="AA141" i="2"/>
  <c r="AA140" i="2" s="1"/>
  <c r="L75" i="8" s="1"/>
  <c r="Y140" i="2"/>
  <c r="J75" i="8" s="1"/>
  <c r="F75" i="8" s="1"/>
  <c r="K198" i="2"/>
  <c r="G90" i="8" s="1"/>
  <c r="J111" i="1"/>
  <c r="L111" i="1"/>
  <c r="Z111" i="1"/>
  <c r="AA201" i="2"/>
  <c r="AA198" i="2" s="1"/>
  <c r="L90" i="8" s="1"/>
  <c r="Y198" i="2"/>
  <c r="J90" i="8" s="1"/>
  <c r="F90" i="8" s="1"/>
  <c r="O8" i="7"/>
  <c r="N5" i="15"/>
  <c r="J108" i="1"/>
  <c r="L108" i="1"/>
  <c r="Z108" i="1"/>
  <c r="I422" i="18" s="1"/>
  <c r="Y184" i="2"/>
  <c r="J86" i="8" s="1"/>
  <c r="F86" i="8" s="1"/>
  <c r="W187" i="2"/>
  <c r="AA189" i="2"/>
  <c r="AA187" i="2" s="1"/>
  <c r="L87" i="8" s="1"/>
  <c r="Y187" i="2"/>
  <c r="J87" i="8" s="1"/>
  <c r="F87" i="8" s="1"/>
  <c r="L109" i="1"/>
  <c r="J109" i="1"/>
  <c r="Z109" i="1"/>
  <c r="D7" i="15"/>
  <c r="D8" i="13"/>
  <c r="D12" i="13"/>
  <c r="D9" i="12"/>
  <c r="D8" i="15"/>
  <c r="D11" i="13"/>
  <c r="D7" i="12"/>
  <c r="D6" i="15"/>
  <c r="I23" i="1"/>
  <c r="D9" i="8" s="1"/>
  <c r="AB100" i="2"/>
  <c r="AB92" i="2" s="1"/>
  <c r="AB91" i="2" s="1"/>
  <c r="M64" i="8" s="1"/>
  <c r="Y52" i="1"/>
  <c r="I5" i="1"/>
  <c r="W44" i="1"/>
  <c r="W203" i="1"/>
  <c r="AA204" i="1"/>
  <c r="AA203" i="1" s="1"/>
  <c r="L43" i="8" s="1"/>
  <c r="Y203" i="1"/>
  <c r="I92" i="1"/>
  <c r="D21" i="8" s="1"/>
  <c r="Y32" i="1"/>
  <c r="AA127" i="1"/>
  <c r="AA125" i="1" s="1"/>
  <c r="Y125" i="1"/>
  <c r="AA133" i="1"/>
  <c r="AA95" i="1"/>
  <c r="AA92" i="1" s="1"/>
  <c r="L21" i="8" s="1"/>
  <c r="AA155" i="2"/>
  <c r="AA154" i="2" s="1"/>
  <c r="L78" i="8" s="1"/>
  <c r="Y154" i="2"/>
  <c r="J78" i="8" s="1"/>
  <c r="F78" i="8" s="1"/>
  <c r="J93" i="8"/>
  <c r="F93" i="8" s="1"/>
  <c r="D6" i="12" s="1"/>
  <c r="K5" i="2"/>
  <c r="K34" i="2"/>
  <c r="G53" i="8" s="1"/>
  <c r="W107" i="2"/>
  <c r="W106" i="2" s="1"/>
  <c r="U106" i="2"/>
  <c r="W8" i="2"/>
  <c r="W5" i="2" s="1"/>
  <c r="U5" i="2"/>
  <c r="W14" i="2"/>
  <c r="W12" i="2" s="1"/>
  <c r="AA174" i="2"/>
  <c r="AA173" i="2" s="1"/>
  <c r="L83" i="8" s="1"/>
  <c r="Y173" i="2"/>
  <c r="J83" i="8" s="1"/>
  <c r="F83" i="8" s="1"/>
  <c r="AA17" i="2"/>
  <c r="AA15" i="2" s="1"/>
  <c r="L50" i="8" s="1"/>
  <c r="Y15" i="2"/>
  <c r="W17" i="2"/>
  <c r="W15" i="2" s="1"/>
  <c r="U15" i="2"/>
  <c r="U12" i="2" s="1"/>
  <c r="K39" i="1"/>
  <c r="K44" i="1"/>
  <c r="G15" i="8" s="1"/>
  <c r="I44" i="1"/>
  <c r="D15" i="8" s="1"/>
  <c r="K99" i="1"/>
  <c r="G22" i="8" s="1"/>
  <c r="I16" i="1"/>
  <c r="D8" i="8" s="1"/>
  <c r="Y26" i="1"/>
  <c r="J10" i="8" s="1"/>
  <c r="F10" i="8" s="1"/>
  <c r="I57" i="1"/>
  <c r="D17" i="8" s="1"/>
  <c r="Y36" i="1"/>
  <c r="J13" i="8" s="1"/>
  <c r="F13" i="8" s="1"/>
  <c r="AA45" i="1"/>
  <c r="AA44" i="1" s="1"/>
  <c r="L15" i="8" s="1"/>
  <c r="I32" i="1"/>
  <c r="K32" i="1"/>
  <c r="G12" i="8" s="1"/>
  <c r="W57" i="1"/>
  <c r="K108" i="1"/>
  <c r="Y108" i="1"/>
  <c r="AA108" i="1" s="1"/>
  <c r="Y131" i="1"/>
  <c r="AA140" i="1"/>
  <c r="L28" i="8" s="1"/>
  <c r="AA106" i="1"/>
  <c r="W106" i="1"/>
  <c r="W35" i="1"/>
  <c r="U32" i="1"/>
  <c r="I111" i="1"/>
  <c r="Y111" i="1"/>
  <c r="AA111" i="1" s="1"/>
  <c r="K109" i="1"/>
  <c r="Y109" i="1"/>
  <c r="AA109" i="1" s="1"/>
  <c r="Y110" i="1"/>
  <c r="AA110" i="1" s="1"/>
  <c r="AA59" i="1"/>
  <c r="AA57" i="1" s="1"/>
  <c r="L17" i="8" s="1"/>
  <c r="Y57" i="1"/>
  <c r="J17" i="8" s="1"/>
  <c r="F17" i="8" s="1"/>
  <c r="I112" i="1"/>
  <c r="K112" i="1"/>
  <c r="AA35" i="2"/>
  <c r="AA34" i="2" s="1"/>
  <c r="L53" i="8" s="1"/>
  <c r="Y34" i="2"/>
  <c r="J53" i="8" s="1"/>
  <c r="F53" i="8" s="1"/>
  <c r="I131" i="1"/>
  <c r="U60" i="4"/>
  <c r="U3" i="4" s="1"/>
  <c r="W92" i="1"/>
  <c r="J22" i="8"/>
  <c r="F22" i="8" s="1"/>
  <c r="AA101" i="1"/>
  <c r="AA102" i="1"/>
  <c r="L23" i="8" s="1"/>
  <c r="AA149" i="1"/>
  <c r="I148" i="2"/>
  <c r="D77" i="8" s="1"/>
  <c r="I21" i="2"/>
  <c r="D51" i="8" s="1"/>
  <c r="D92" i="8"/>
  <c r="D5" i="12" s="1"/>
  <c r="AA107" i="2"/>
  <c r="AA106" i="2" s="1"/>
  <c r="L67" i="8" s="1"/>
  <c r="I100" i="2"/>
  <c r="I92" i="2" s="1"/>
  <c r="W186" i="2"/>
  <c r="W184" i="2" s="1"/>
  <c r="I198" i="2"/>
  <c r="I43" i="2"/>
  <c r="D55" i="8" s="1"/>
  <c r="W166" i="2"/>
  <c r="W165" i="2" s="1"/>
  <c r="U165" i="2"/>
  <c r="F8" i="7"/>
  <c r="D9" i="19" s="1"/>
  <c r="F9" i="19" s="1"/>
  <c r="Q10" i="11"/>
  <c r="C102" i="11"/>
  <c r="Q6" i="11"/>
  <c r="C98" i="11"/>
  <c r="M12" i="10"/>
  <c r="C119" i="10" s="1"/>
  <c r="M7" i="10"/>
  <c r="I140" i="1"/>
  <c r="D28" i="8" s="1"/>
  <c r="K203" i="1"/>
  <c r="G43" i="8" s="1"/>
  <c r="AA55" i="1"/>
  <c r="AA52" i="1" s="1"/>
  <c r="L16" i="8" s="1"/>
  <c r="K184" i="2"/>
  <c r="G86" i="8" s="1"/>
  <c r="AA101" i="2"/>
  <c r="L66" i="8" s="1"/>
  <c r="D56" i="8"/>
  <c r="AA131" i="2"/>
  <c r="L74" i="8" s="1"/>
  <c r="I140" i="2"/>
  <c r="D75" i="8" s="1"/>
  <c r="AA166" i="2"/>
  <c r="Y165" i="2"/>
  <c r="J81" i="8" s="1"/>
  <c r="F81" i="8" s="1"/>
  <c r="U52" i="2"/>
  <c r="J57" i="8"/>
  <c r="F57" i="8" s="1"/>
  <c r="J67" i="8"/>
  <c r="F67" i="8" s="1"/>
  <c r="AA172" i="2"/>
  <c r="J82" i="8"/>
  <c r="F82" i="8" s="1"/>
  <c r="I173" i="2"/>
  <c r="D83" i="8" s="1"/>
  <c r="U56" i="2"/>
  <c r="I170" i="2"/>
  <c r="D82" i="8" s="1"/>
  <c r="K173" i="2"/>
  <c r="G83" i="8" s="1"/>
  <c r="AA57" i="2"/>
  <c r="AA56" i="2" s="1"/>
  <c r="L58" i="8" s="1"/>
  <c r="Y56" i="2"/>
  <c r="K170" i="2"/>
  <c r="G82" i="8" s="1"/>
  <c r="I73" i="2"/>
  <c r="D61" i="8" s="1"/>
  <c r="I154" i="2"/>
  <c r="D78" i="8" s="1"/>
  <c r="W154" i="2"/>
  <c r="AA148" i="2"/>
  <c r="L77" i="8" s="1"/>
  <c r="I145" i="2"/>
  <c r="D76" i="8" s="1"/>
  <c r="Y145" i="2"/>
  <c r="J76" i="8" s="1"/>
  <c r="F76" i="8" s="1"/>
  <c r="AA145" i="2"/>
  <c r="L76" i="8" s="1"/>
  <c r="K145" i="2"/>
  <c r="G76" i="8" s="1"/>
  <c r="K5" i="6"/>
  <c r="Y124" i="2"/>
  <c r="J71" i="8" s="1"/>
  <c r="F71" i="8" s="1"/>
  <c r="AA203" i="2"/>
  <c r="L91" i="8" s="1"/>
  <c r="I203" i="2"/>
  <c r="D91" i="8" s="1"/>
  <c r="U193" i="2"/>
  <c r="AA40" i="1"/>
  <c r="AA39" i="1" s="1"/>
  <c r="Y39" i="1"/>
  <c r="AA82" i="1"/>
  <c r="AA77" i="1" s="1"/>
  <c r="L18" i="8" s="1"/>
  <c r="K143" i="1"/>
  <c r="G29" i="8" s="1"/>
  <c r="W161" i="1"/>
  <c r="W160" i="1" s="1"/>
  <c r="U160" i="1"/>
  <c r="Y23" i="1"/>
  <c r="J9" i="8" s="1"/>
  <c r="F9" i="8" s="1"/>
  <c r="D7" i="8"/>
  <c r="K26" i="1"/>
  <c r="G10" i="8" s="1"/>
  <c r="AA144" i="1"/>
  <c r="AA143" i="1" s="1"/>
  <c r="L29" i="8" s="1"/>
  <c r="Y143" i="1"/>
  <c r="J29" i="8" s="1"/>
  <c r="F29" i="8" s="1"/>
  <c r="W144" i="1"/>
  <c r="U143" i="1"/>
  <c r="I143" i="1"/>
  <c r="D29" i="8" s="1"/>
  <c r="I36" i="1"/>
  <c r="D13" i="8" s="1"/>
  <c r="W173" i="1"/>
  <c r="W172" i="1" s="1"/>
  <c r="U172" i="1"/>
  <c r="I206" i="1"/>
  <c r="D44" i="8" s="1"/>
  <c r="K206" i="1"/>
  <c r="G44" i="8" s="1"/>
  <c r="AA195" i="1"/>
  <c r="L41" i="8" s="1"/>
  <c r="K195" i="1"/>
  <c r="G41" i="8" s="1"/>
  <c r="I192" i="1"/>
  <c r="D40" i="8" s="1"/>
  <c r="K87" i="1"/>
  <c r="G19" i="8" s="1"/>
  <c r="L33" i="8"/>
  <c r="I77" i="1"/>
  <c r="D18" i="8" s="1"/>
  <c r="AA87" i="1"/>
  <c r="L19" i="8" s="1"/>
  <c r="I99" i="1"/>
  <c r="D22" i="8" s="1"/>
  <c r="D33" i="8"/>
  <c r="K36" i="1"/>
  <c r="G13" i="8" s="1"/>
  <c r="K140" i="1"/>
  <c r="G28" i="8" s="1"/>
  <c r="U186" i="1"/>
  <c r="I52" i="1"/>
  <c r="D16" i="8" s="1"/>
  <c r="U36" i="1"/>
  <c r="I110" i="1"/>
  <c r="AA186" i="1"/>
  <c r="L39" i="8" s="1"/>
  <c r="K16" i="1"/>
  <c r="G8" i="8" s="1"/>
  <c r="I26" i="1"/>
  <c r="D10" i="8" s="1"/>
  <c r="K125" i="1"/>
  <c r="G25" i="8" s="1"/>
  <c r="AA160" i="1"/>
  <c r="L32" i="8" s="1"/>
  <c r="I195" i="1"/>
  <c r="D41" i="8" s="1"/>
  <c r="AA33" i="1"/>
  <c r="AA32" i="1" s="1"/>
  <c r="L12" i="8" s="1"/>
  <c r="K186" i="1"/>
  <c r="G39" i="8" s="1"/>
  <c r="I109" i="1"/>
  <c r="K111" i="1"/>
  <c r="J35" i="8"/>
  <c r="F35" i="8" s="1"/>
  <c r="Y175" i="1"/>
  <c r="J36" i="8" s="1"/>
  <c r="F36" i="8" s="1"/>
  <c r="AA177" i="1"/>
  <c r="AA175" i="1" s="1"/>
  <c r="L36" i="8" s="1"/>
  <c r="I203" i="1"/>
  <c r="D43" i="8" s="1"/>
  <c r="AA28" i="1"/>
  <c r="AA26" i="1" s="1"/>
  <c r="L10" i="8" s="1"/>
  <c r="Y153" i="1"/>
  <c r="J31" i="8" s="1"/>
  <c r="F31" i="8" s="1"/>
  <c r="AA153" i="1"/>
  <c r="L31" i="8" s="1"/>
  <c r="I175" i="1"/>
  <c r="D36" i="8" s="1"/>
  <c r="U199" i="1"/>
  <c r="Y206" i="1"/>
  <c r="J44" i="8" s="1"/>
  <c r="F44" i="8" s="1"/>
  <c r="AA207" i="1"/>
  <c r="AA206" i="1" s="1"/>
  <c r="L44" i="8" s="1"/>
  <c r="AA37" i="1"/>
  <c r="AA36" i="1" s="1"/>
  <c r="L13" i="8" s="1"/>
  <c r="I186" i="1"/>
  <c r="D39" i="8" s="1"/>
  <c r="K179" i="1"/>
  <c r="G37" i="8" s="1"/>
  <c r="I199" i="1"/>
  <c r="D42" i="8" s="1"/>
  <c r="I160" i="1"/>
  <c r="D32" i="8" s="1"/>
  <c r="Y179" i="1"/>
  <c r="J37" i="8" s="1"/>
  <c r="F37" i="8" s="1"/>
  <c r="AA180" i="1"/>
  <c r="AA179" i="1" s="1"/>
  <c r="L37" i="8" s="1"/>
  <c r="Y87" i="1"/>
  <c r="K175" i="1"/>
  <c r="G36" i="8" s="1"/>
  <c r="K192" i="1"/>
  <c r="G40" i="8" s="1"/>
  <c r="AA199" i="1"/>
  <c r="L42" i="8" s="1"/>
  <c r="W27" i="1"/>
  <c r="W26" i="1" s="1"/>
  <c r="U26" i="1"/>
  <c r="Y192" i="1"/>
  <c r="J40" i="8" s="1"/>
  <c r="F40" i="8" s="1"/>
  <c r="AA193" i="1"/>
  <c r="AA192" i="1" s="1"/>
  <c r="L40" i="8" s="1"/>
  <c r="K5" i="1"/>
  <c r="U125" i="1"/>
  <c r="W127" i="1"/>
  <c r="W125" i="1" s="1"/>
  <c r="J38" i="8"/>
  <c r="F38" i="8" s="1"/>
  <c r="AA185" i="1"/>
  <c r="AA184" i="1" s="1"/>
  <c r="L38" i="8" s="1"/>
  <c r="U192" i="1"/>
  <c r="K57" i="1"/>
  <c r="G17" i="8" s="1"/>
  <c r="U52" i="1"/>
  <c r="J7" i="8"/>
  <c r="AA15" i="1"/>
  <c r="AA12" i="1" s="1"/>
  <c r="L7" i="8" s="1"/>
  <c r="W183" i="2"/>
  <c r="W182" i="2" s="1"/>
  <c r="AA47" i="6"/>
  <c r="L206" i="8" s="1"/>
  <c r="AA40" i="6"/>
  <c r="L205" i="8" s="1"/>
  <c r="AA14" i="6"/>
  <c r="AA7" i="6"/>
  <c r="AA5" i="6" s="1"/>
  <c r="L202" i="8"/>
  <c r="K187" i="2"/>
  <c r="G87" i="8" s="1"/>
  <c r="I184" i="2"/>
  <c r="D86" i="8" s="1"/>
  <c r="AA185" i="2"/>
  <c r="AA184" i="2" s="1"/>
  <c r="L86" i="8" s="1"/>
  <c r="J85" i="8"/>
  <c r="F85" i="8" s="1"/>
  <c r="AA183" i="2"/>
  <c r="AA182" i="2" s="1"/>
  <c r="L85" i="8" s="1"/>
  <c r="U182" i="2"/>
  <c r="AA176" i="2"/>
  <c r="I176" i="2"/>
  <c r="D84" i="8" s="1"/>
  <c r="K176" i="2"/>
  <c r="G84" i="8" s="1"/>
  <c r="W176" i="2"/>
  <c r="U23" i="1"/>
  <c r="AA9" i="1"/>
  <c r="AA5" i="1" s="1"/>
  <c r="J6" i="8"/>
  <c r="F6" i="8" s="1"/>
  <c r="K77" i="2"/>
  <c r="G62" i="8" s="1"/>
  <c r="I77" i="2"/>
  <c r="D62" i="8" s="1"/>
  <c r="K209" i="1"/>
  <c r="G45" i="8" s="1"/>
  <c r="Y209" i="1"/>
  <c r="J45" i="8" s="1"/>
  <c r="F45" i="8" s="1"/>
  <c r="AA210" i="1"/>
  <c r="AA209" i="1" s="1"/>
  <c r="D79" i="8"/>
  <c r="I153" i="1"/>
  <c r="D31" i="8" s="1"/>
  <c r="K153" i="1"/>
  <c r="G31" i="8" s="1"/>
  <c r="I85" i="2"/>
  <c r="D63" i="8" s="1"/>
  <c r="AA85" i="2"/>
  <c r="L63" i="8" s="1"/>
  <c r="I125" i="1"/>
  <c r="D25" i="8" s="1"/>
  <c r="AA126" i="2"/>
  <c r="L72" i="8" s="1"/>
  <c r="K126" i="2"/>
  <c r="G72" i="8" s="1"/>
  <c r="W125" i="2"/>
  <c r="W124" i="2" s="1"/>
  <c r="Y122" i="2"/>
  <c r="J70" i="8" s="1"/>
  <c r="F70" i="8" s="1"/>
  <c r="AA123" i="2"/>
  <c r="AA122" i="2" s="1"/>
  <c r="L70" i="8" s="1"/>
  <c r="J69" i="8"/>
  <c r="F69" i="8" s="1"/>
  <c r="AA121" i="2"/>
  <c r="AA120" i="2" s="1"/>
  <c r="G69" i="8"/>
  <c r="D69" i="8"/>
  <c r="Y73" i="2"/>
  <c r="J61" i="8" s="1"/>
  <c r="F61" i="8" s="1"/>
  <c r="AA74" i="2"/>
  <c r="AA73" i="2" s="1"/>
  <c r="L61" i="8" s="1"/>
  <c r="K73" i="2"/>
  <c r="G61" i="8" s="1"/>
  <c r="AA68" i="2"/>
  <c r="L60" i="8" s="1"/>
  <c r="W68" i="2"/>
  <c r="AA60" i="2"/>
  <c r="L59" i="8" s="1"/>
  <c r="I60" i="2"/>
  <c r="D59" i="8" s="1"/>
  <c r="K60" i="2"/>
  <c r="G59" i="8" s="1"/>
  <c r="K52" i="2"/>
  <c r="G57" i="8" s="1"/>
  <c r="AA52" i="2"/>
  <c r="L57" i="8" s="1"/>
  <c r="G56" i="8"/>
  <c r="AA43" i="2"/>
  <c r="L55" i="8" s="1"/>
  <c r="K43" i="2"/>
  <c r="G55" i="8" s="1"/>
  <c r="Y39" i="2"/>
  <c r="J54" i="8" s="1"/>
  <c r="F54" i="8" s="1"/>
  <c r="AA40" i="2"/>
  <c r="AA39" i="2" s="1"/>
  <c r="L54" i="8" s="1"/>
  <c r="I34" i="2"/>
  <c r="D53" i="8" s="1"/>
  <c r="Y29" i="2"/>
  <c r="J52" i="8" s="1"/>
  <c r="F52" i="8" s="1"/>
  <c r="AA31" i="2"/>
  <c r="AA29" i="2" s="1"/>
  <c r="I29" i="2"/>
  <c r="D52" i="8" s="1"/>
  <c r="K29" i="2"/>
  <c r="G52" i="8" s="1"/>
  <c r="K21" i="2"/>
  <c r="G51" i="8" s="1"/>
  <c r="AA21" i="2"/>
  <c r="L51" i="8" s="1"/>
  <c r="Y21" i="2"/>
  <c r="J51" i="8" s="1"/>
  <c r="F51" i="8" s="1"/>
  <c r="AA13" i="2"/>
  <c r="AA12" i="2" s="1"/>
  <c r="L49" i="8" s="1"/>
  <c r="G49" i="8"/>
  <c r="AA7" i="2"/>
  <c r="AA5" i="2" s="1"/>
  <c r="Y5" i="2"/>
  <c r="G23" i="8"/>
  <c r="W103" i="1"/>
  <c r="W102" i="1" s="1"/>
  <c r="U99" i="1"/>
  <c r="K92" i="1"/>
  <c r="G21" i="8" s="1"/>
  <c r="I5" i="2"/>
  <c r="I165" i="2"/>
  <c r="D81" i="8" s="1"/>
  <c r="W203" i="2"/>
  <c r="I56" i="2"/>
  <c r="D58" i="8" s="1"/>
  <c r="U68" i="2"/>
  <c r="K131" i="2"/>
  <c r="U148" i="2"/>
  <c r="K92" i="2"/>
  <c r="W121" i="2"/>
  <c r="W120" i="2" s="1"/>
  <c r="K85" i="2"/>
  <c r="G63" i="8" s="1"/>
  <c r="I187" i="2"/>
  <c r="D87" i="8" s="1"/>
  <c r="K56" i="2"/>
  <c r="G58" i="8" s="1"/>
  <c r="Y68" i="2"/>
  <c r="J60" i="8" s="1"/>
  <c r="F60" i="8" s="1"/>
  <c r="I131" i="2"/>
  <c r="U176" i="2"/>
  <c r="I39" i="2"/>
  <c r="D54" i="8" s="1"/>
  <c r="Y77" i="2"/>
  <c r="J62" i="8" s="1"/>
  <c r="F62" i="8" s="1"/>
  <c r="Y85" i="2"/>
  <c r="J63" i="8" s="1"/>
  <c r="F63" i="8" s="1"/>
  <c r="W39" i="2"/>
  <c r="W57" i="2"/>
  <c r="W56" i="2" s="1"/>
  <c r="Y101" i="2"/>
  <c r="I126" i="2"/>
  <c r="D72" i="8" s="1"/>
  <c r="K148" i="2"/>
  <c r="G77" i="8" s="1"/>
  <c r="K31" i="6"/>
  <c r="G204" i="8" s="1"/>
  <c r="K40" i="6"/>
  <c r="Y40" i="6"/>
  <c r="J205" i="8" s="1"/>
  <c r="F205" i="8" s="1"/>
  <c r="U47" i="6"/>
  <c r="G202" i="8"/>
  <c r="K47" i="6"/>
  <c r="G206" i="8" s="1"/>
  <c r="Y14" i="6"/>
  <c r="J201" i="8" s="1"/>
  <c r="F201" i="8" s="1"/>
  <c r="I40" i="6"/>
  <c r="G159" i="8"/>
  <c r="Y186" i="1"/>
  <c r="J39" i="8" s="1"/>
  <c r="F39" i="8" s="1"/>
  <c r="Y199" i="1"/>
  <c r="Y92" i="1"/>
  <c r="W140" i="1"/>
  <c r="W179" i="1"/>
  <c r="Y140" i="1"/>
  <c r="J28" i="8" s="1"/>
  <c r="F28" i="8" s="1"/>
  <c r="J33" i="8"/>
  <c r="F33" i="8" s="1"/>
  <c r="U195" i="1"/>
  <c r="U12" i="1"/>
  <c r="Y195" i="1"/>
  <c r="J41" i="8" s="1"/>
  <c r="F41" i="8" s="1"/>
  <c r="U148" i="1"/>
  <c r="K23" i="1"/>
  <c r="G9" i="8" s="1"/>
  <c r="W148" i="1"/>
  <c r="W131" i="1"/>
  <c r="W101" i="2"/>
  <c r="Y115" i="1"/>
  <c r="AA115" i="1" s="1"/>
  <c r="U115" i="1"/>
  <c r="W115" i="1" s="1"/>
  <c r="W153" i="1"/>
  <c r="K77" i="1"/>
  <c r="G18" i="8" s="1"/>
  <c r="U77" i="1"/>
  <c r="W77" i="1"/>
  <c r="W109" i="1"/>
  <c r="K131" i="1"/>
  <c r="K151" i="1"/>
  <c r="K148" i="1" s="1"/>
  <c r="G30" i="8" s="1"/>
  <c r="I151" i="1"/>
  <c r="I148" i="1" s="1"/>
  <c r="D30" i="8" s="1"/>
  <c r="W176" i="1"/>
  <c r="W175" i="1" s="1"/>
  <c r="W185" i="1"/>
  <c r="W184" i="1" s="1"/>
  <c r="W198" i="1"/>
  <c r="W195" i="1" s="1"/>
  <c r="W208" i="1"/>
  <c r="W206" i="1" s="1"/>
  <c r="U206" i="1"/>
  <c r="I106" i="2"/>
  <c r="D67" i="8" s="1"/>
  <c r="W148" i="2"/>
  <c r="U5" i="6"/>
  <c r="W5" i="6"/>
  <c r="Y112" i="1"/>
  <c r="AA112" i="1" s="1"/>
  <c r="Y119" i="1"/>
  <c r="AA119" i="1" s="1"/>
  <c r="W119" i="1"/>
  <c r="U153" i="1"/>
  <c r="Y100" i="2"/>
  <c r="Y92" i="2" s="1"/>
  <c r="U100" i="2"/>
  <c r="W100" i="2" s="1"/>
  <c r="W127" i="2"/>
  <c r="W126" i="2" s="1"/>
  <c r="U126" i="2"/>
  <c r="W38" i="1"/>
  <c r="W36" i="1" s="1"/>
  <c r="U44" i="1"/>
  <c r="I108" i="1"/>
  <c r="K160" i="1"/>
  <c r="G32" i="8" s="1"/>
  <c r="W193" i="1"/>
  <c r="W192" i="1" s="1"/>
  <c r="I12" i="2"/>
  <c r="D49" i="8" s="1"/>
  <c r="W44" i="2"/>
  <c r="W43" i="2" s="1"/>
  <c r="U43" i="2"/>
  <c r="W145" i="2"/>
  <c r="W198" i="2"/>
  <c r="G7" i="8"/>
  <c r="W87" i="1"/>
  <c r="U87" i="1"/>
  <c r="U140" i="1"/>
  <c r="I179" i="1"/>
  <c r="D37" i="8" s="1"/>
  <c r="W140" i="2"/>
  <c r="W31" i="6"/>
  <c r="U31" i="6"/>
  <c r="U57" i="1"/>
  <c r="Y116" i="1"/>
  <c r="AA116" i="1" s="1"/>
  <c r="Y124" i="1"/>
  <c r="AA124" i="1" s="1"/>
  <c r="I172" i="1"/>
  <c r="U179" i="1"/>
  <c r="I15" i="2"/>
  <c r="D50" i="8" s="1"/>
  <c r="W60" i="2"/>
  <c r="U73" i="2"/>
  <c r="W18" i="6"/>
  <c r="W14" i="6" s="1"/>
  <c r="U14" i="6"/>
  <c r="U40" i="6"/>
  <c r="W40" i="6"/>
  <c r="W52" i="1"/>
  <c r="W200" i="1"/>
  <c r="W199" i="1" s="1"/>
  <c r="U131" i="2"/>
  <c r="W25" i="1"/>
  <c r="W23" i="1" s="1"/>
  <c r="W40" i="1"/>
  <c r="W39" i="1" s="1"/>
  <c r="U39" i="1"/>
  <c r="W187" i="1"/>
  <c r="W186" i="1" s="1"/>
  <c r="W194" i="2"/>
  <c r="W193" i="2" s="1"/>
  <c r="U60" i="2"/>
  <c r="K106" i="2"/>
  <c r="G67" i="8" s="1"/>
  <c r="U16" i="1"/>
  <c r="W33" i="1"/>
  <c r="U92" i="1"/>
  <c r="U29" i="2"/>
  <c r="W29" i="2"/>
  <c r="U101" i="2"/>
  <c r="Y126" i="2"/>
  <c r="K140" i="2"/>
  <c r="G75" i="8" s="1"/>
  <c r="W16" i="1"/>
  <c r="Y114" i="1"/>
  <c r="AA114" i="1" s="1"/>
  <c r="U203" i="1"/>
  <c r="Y43" i="2"/>
  <c r="K68" i="2"/>
  <c r="G60" i="8" s="1"/>
  <c r="U154" i="2"/>
  <c r="U203" i="2"/>
  <c r="K52" i="1"/>
  <c r="G16" i="8" s="1"/>
  <c r="U131" i="1"/>
  <c r="Y160" i="1"/>
  <c r="J32" i="8" s="1"/>
  <c r="F32" i="8" s="1"/>
  <c r="K15" i="2"/>
  <c r="G50" i="8" s="1"/>
  <c r="W34" i="2"/>
  <c r="U39" i="2"/>
  <c r="Y60" i="2"/>
  <c r="W73" i="2"/>
  <c r="Y148" i="2"/>
  <c r="J77" i="8" s="1"/>
  <c r="F77" i="8" s="1"/>
  <c r="I101" i="2"/>
  <c r="D66" i="8" s="1"/>
  <c r="J79" i="8"/>
  <c r="F79" i="8" s="1"/>
  <c r="I52" i="2"/>
  <c r="D57" i="8" s="1"/>
  <c r="I68" i="2"/>
  <c r="D60" i="8" s="1"/>
  <c r="U77" i="2"/>
  <c r="W77" i="2"/>
  <c r="K101" i="2"/>
  <c r="G66" i="8" s="1"/>
  <c r="Y131" i="2"/>
  <c r="K165" i="2"/>
  <c r="G81" i="8" s="1"/>
  <c r="W171" i="2"/>
  <c r="W170" i="2" s="1"/>
  <c r="U85" i="2"/>
  <c r="W122" i="2"/>
  <c r="U122" i="2"/>
  <c r="K194" i="2"/>
  <c r="K193" i="2" s="1"/>
  <c r="I39" i="1"/>
  <c r="I87" i="1"/>
  <c r="D19" i="8" s="1"/>
  <c r="K199" i="1"/>
  <c r="G42" i="8" s="1"/>
  <c r="W21" i="2"/>
  <c r="U34" i="2"/>
  <c r="W85" i="2"/>
  <c r="U140" i="2"/>
  <c r="K154" i="2"/>
  <c r="I194" i="2"/>
  <c r="I193" i="2" s="1"/>
  <c r="U198" i="2"/>
  <c r="Y203" i="2"/>
  <c r="J91" i="8" s="1"/>
  <c r="F91" i="8" s="1"/>
  <c r="U21" i="2"/>
  <c r="G54" i="8"/>
  <c r="Y176" i="2"/>
  <c r="J84" i="8" s="1"/>
  <c r="F84" i="8" s="1"/>
  <c r="J202" i="8"/>
  <c r="F202" i="8" s="1"/>
  <c r="I31" i="6"/>
  <c r="I47" i="6"/>
  <c r="D206" i="8" s="1"/>
  <c r="W47" i="6"/>
  <c r="D202" i="8"/>
  <c r="Y31" i="6"/>
  <c r="Z31" i="6" s="1"/>
  <c r="Y47" i="6"/>
  <c r="J206" i="8" s="1"/>
  <c r="F206" i="8" s="1"/>
  <c r="I459" i="18" l="1"/>
  <c r="Z148" i="1"/>
  <c r="AA131" i="1"/>
  <c r="L27" i="8" s="1"/>
  <c r="Z87" i="1"/>
  <c r="K19" i="8" s="1"/>
  <c r="E56" i="11" s="1"/>
  <c r="Z125" i="1"/>
  <c r="K25" i="8" s="1"/>
  <c r="E65" i="11" s="1"/>
  <c r="AB17" i="2"/>
  <c r="AB15" i="2" s="1"/>
  <c r="AB4" i="2" s="1"/>
  <c r="M47" i="8" s="1"/>
  <c r="I564" i="18"/>
  <c r="Z4" i="2"/>
  <c r="AA4" i="6"/>
  <c r="K15" i="8"/>
  <c r="AB134" i="1"/>
  <c r="I445" i="18"/>
  <c r="AB51" i="1"/>
  <c r="AB44" i="1" s="1"/>
  <c r="I536" i="18"/>
  <c r="Z30" i="6"/>
  <c r="J42" i="8"/>
  <c r="F42" i="8" s="1"/>
  <c r="J16" i="8"/>
  <c r="F16" i="8" s="1"/>
  <c r="K16" i="8"/>
  <c r="E53" i="11" s="1"/>
  <c r="J12" i="8"/>
  <c r="F12" i="8" s="1"/>
  <c r="Y31" i="1"/>
  <c r="J59" i="8"/>
  <c r="F59" i="8" s="1"/>
  <c r="K59" i="8"/>
  <c r="E49" i="10" s="1"/>
  <c r="J66" i="8"/>
  <c r="F66" i="8" s="1"/>
  <c r="Z101" i="2"/>
  <c r="K66" i="8" s="1"/>
  <c r="E59" i="10" s="1"/>
  <c r="K89" i="8"/>
  <c r="Z192" i="2"/>
  <c r="J50" i="8"/>
  <c r="F50" i="8" s="1"/>
  <c r="K6" i="7"/>
  <c r="G6" i="7" s="1"/>
  <c r="N6" i="7" s="1"/>
  <c r="E69" i="12"/>
  <c r="E11" i="12"/>
  <c r="E86" i="15"/>
  <c r="E10" i="15"/>
  <c r="E7" i="15"/>
  <c r="E56" i="15"/>
  <c r="AB112" i="1"/>
  <c r="I426" i="18"/>
  <c r="AB111" i="1"/>
  <c r="I425" i="18"/>
  <c r="AB110" i="1"/>
  <c r="I424" i="18"/>
  <c r="AB109" i="1"/>
  <c r="I423" i="18"/>
  <c r="O5" i="15"/>
  <c r="E9" i="15"/>
  <c r="E74" i="15"/>
  <c r="Y130" i="2"/>
  <c r="AA4" i="1"/>
  <c r="O11" i="15"/>
  <c r="D95" i="15" s="1"/>
  <c r="I4" i="6"/>
  <c r="K8" i="7"/>
  <c r="G8" i="7" s="1"/>
  <c r="N8" i="7" s="1"/>
  <c r="J105" i="1"/>
  <c r="J91" i="1" s="1"/>
  <c r="U192" i="2"/>
  <c r="L105" i="1"/>
  <c r="H24" i="8" s="1"/>
  <c r="H20" i="8" s="1"/>
  <c r="AA170" i="2"/>
  <c r="L82" i="8" s="1"/>
  <c r="K192" i="2"/>
  <c r="E95" i="15"/>
  <c r="E11" i="15"/>
  <c r="D204" i="8"/>
  <c r="I30" i="6"/>
  <c r="H30" i="8"/>
  <c r="H26" i="8" s="1"/>
  <c r="L130" i="1"/>
  <c r="W192" i="2"/>
  <c r="F192" i="2" s="1"/>
  <c r="Y192" i="2"/>
  <c r="U30" i="6"/>
  <c r="AB108" i="1"/>
  <c r="Z105" i="1"/>
  <c r="K24" i="8" s="1"/>
  <c r="E64" i="11" s="1"/>
  <c r="E30" i="8"/>
  <c r="E26" i="8" s="1"/>
  <c r="J130" i="1"/>
  <c r="M65" i="8"/>
  <c r="K65" i="8"/>
  <c r="D90" i="8"/>
  <c r="I192" i="2"/>
  <c r="I130" i="1"/>
  <c r="Y148" i="1"/>
  <c r="Y130" i="1" s="1"/>
  <c r="J21" i="8"/>
  <c r="F21" i="8" s="1"/>
  <c r="AB133" i="1"/>
  <c r="Z131" i="1"/>
  <c r="Z130" i="1" s="1"/>
  <c r="AB95" i="1"/>
  <c r="AB92" i="1" s="1"/>
  <c r="Z92" i="1"/>
  <c r="W32" i="1"/>
  <c r="W31" i="1" s="1"/>
  <c r="F31" i="1" s="1"/>
  <c r="K130" i="1"/>
  <c r="AA99" i="1"/>
  <c r="L22" i="8" s="1"/>
  <c r="G78" i="8"/>
  <c r="K130" i="2"/>
  <c r="G80" i="8"/>
  <c r="N11" i="10" s="1"/>
  <c r="D12" i="8"/>
  <c r="I31" i="1"/>
  <c r="K119" i="2"/>
  <c r="Y4" i="2"/>
  <c r="I4" i="2"/>
  <c r="Y4" i="1"/>
  <c r="W4" i="1"/>
  <c r="F4" i="1" s="1"/>
  <c r="U105" i="1"/>
  <c r="Y105" i="1"/>
  <c r="Y91" i="1" s="1"/>
  <c r="U4" i="1"/>
  <c r="F6" i="7"/>
  <c r="D7" i="19" s="1"/>
  <c r="F7" i="19" s="1"/>
  <c r="D200" i="8"/>
  <c r="W4" i="6"/>
  <c r="F4" i="6" s="1"/>
  <c r="U4" i="6"/>
  <c r="L200" i="8"/>
  <c r="G200" i="8"/>
  <c r="K4" i="6"/>
  <c r="Y4" i="6"/>
  <c r="G68" i="8"/>
  <c r="N9" i="10" s="1"/>
  <c r="I130" i="2"/>
  <c r="I164" i="2"/>
  <c r="D74" i="8"/>
  <c r="G74" i="8"/>
  <c r="L73" i="8"/>
  <c r="J74" i="8"/>
  <c r="F74" i="8" s="1"/>
  <c r="G48" i="8"/>
  <c r="G47" i="8" s="1"/>
  <c r="N7" i="10" s="1"/>
  <c r="K4" i="2"/>
  <c r="D27" i="8"/>
  <c r="U130" i="1"/>
  <c r="G27" i="8"/>
  <c r="J27" i="8"/>
  <c r="F27" i="8" s="1"/>
  <c r="C37" i="10"/>
  <c r="C115" i="10"/>
  <c r="K4" i="1"/>
  <c r="D6" i="8"/>
  <c r="I4" i="1"/>
  <c r="G6" i="8"/>
  <c r="G5" i="8" s="1"/>
  <c r="R6" i="11" s="1"/>
  <c r="J19" i="8"/>
  <c r="F19" i="8" s="1"/>
  <c r="L89" i="8"/>
  <c r="L88" i="8" s="1"/>
  <c r="AA192" i="2"/>
  <c r="AA165" i="2"/>
  <c r="L81" i="8" s="1"/>
  <c r="L52" i="8"/>
  <c r="U145" i="2"/>
  <c r="AA130" i="2"/>
  <c r="J89" i="8"/>
  <c r="F89" i="8" s="1"/>
  <c r="D89" i="8"/>
  <c r="G89" i="8"/>
  <c r="G88" i="8" s="1"/>
  <c r="N12" i="10" s="1"/>
  <c r="J14" i="8"/>
  <c r="F14" i="8" s="1"/>
  <c r="L6" i="8"/>
  <c r="AA31" i="1"/>
  <c r="W143" i="1"/>
  <c r="L14" i="8"/>
  <c r="AA172" i="1"/>
  <c r="L203" i="8"/>
  <c r="AA105" i="1"/>
  <c r="L24" i="8" s="1"/>
  <c r="W105" i="1"/>
  <c r="K105" i="1"/>
  <c r="G24" i="8" s="1"/>
  <c r="G20" i="8" s="1"/>
  <c r="AA151" i="1"/>
  <c r="AA148" i="1" s="1"/>
  <c r="AA130" i="1" s="1"/>
  <c r="I105" i="1"/>
  <c r="D24" i="8" s="1"/>
  <c r="Y171" i="1"/>
  <c r="J43" i="8"/>
  <c r="F43" i="8" s="1"/>
  <c r="J15" i="8"/>
  <c r="F15" i="8" s="1"/>
  <c r="L84" i="8"/>
  <c r="K164" i="2"/>
  <c r="L201" i="8"/>
  <c r="AA30" i="6"/>
  <c r="D80" i="8"/>
  <c r="U170" i="2"/>
  <c r="D14" i="8"/>
  <c r="K31" i="1"/>
  <c r="G14" i="8"/>
  <c r="G11" i="8" s="1"/>
  <c r="R7" i="11" s="1"/>
  <c r="J5" i="8"/>
  <c r="F5" i="8" s="1"/>
  <c r="L45" i="8"/>
  <c r="G79" i="8"/>
  <c r="Y91" i="2"/>
  <c r="AA100" i="2"/>
  <c r="AA92" i="2" s="1"/>
  <c r="AA91" i="2" s="1"/>
  <c r="G65" i="8"/>
  <c r="G64" i="8" s="1"/>
  <c r="N8" i="10" s="1"/>
  <c r="K91" i="2"/>
  <c r="D65" i="8"/>
  <c r="I91" i="2"/>
  <c r="I119" i="2"/>
  <c r="D68" i="8"/>
  <c r="L69" i="8"/>
  <c r="L68" i="8" s="1"/>
  <c r="AA119" i="2"/>
  <c r="D205" i="8"/>
  <c r="W30" i="6"/>
  <c r="F30" i="6" s="1"/>
  <c r="G205" i="8"/>
  <c r="K30" i="6"/>
  <c r="D201" i="8"/>
  <c r="G201" i="8"/>
  <c r="J48" i="8"/>
  <c r="F48" i="8" s="1"/>
  <c r="AA4" i="2"/>
  <c r="L48" i="8"/>
  <c r="D48" i="8"/>
  <c r="D35" i="8"/>
  <c r="I171" i="1"/>
  <c r="K171" i="1"/>
  <c r="G35" i="8"/>
  <c r="G33" i="8"/>
  <c r="J23" i="8"/>
  <c r="F23" i="8" s="1"/>
  <c r="J80" i="8"/>
  <c r="F80" i="8" s="1"/>
  <c r="J58" i="8"/>
  <c r="F58" i="8" s="1"/>
  <c r="U119" i="2"/>
  <c r="Y119" i="2"/>
  <c r="J72" i="8"/>
  <c r="F72" i="8" s="1"/>
  <c r="U92" i="2"/>
  <c r="W119" i="2"/>
  <c r="F119" i="2" s="1"/>
  <c r="J55" i="8"/>
  <c r="F55" i="8" s="1"/>
  <c r="J200" i="8"/>
  <c r="J159" i="8"/>
  <c r="F159" i="8" s="1"/>
  <c r="Y30" i="6"/>
  <c r="J204" i="8"/>
  <c r="F204" i="8" s="1"/>
  <c r="U31" i="1"/>
  <c r="W171" i="1"/>
  <c r="F171" i="1" s="1"/>
  <c r="U171" i="1"/>
  <c r="W164" i="2"/>
  <c r="F164" i="2" s="1"/>
  <c r="Y164" i="2"/>
  <c r="U102" i="1"/>
  <c r="W92" i="2"/>
  <c r="W91" i="2" s="1"/>
  <c r="M50" i="8" l="1"/>
  <c r="D40" i="10" s="1"/>
  <c r="AA3" i="6"/>
  <c r="L198" i="8" s="1"/>
  <c r="AB3" i="2"/>
  <c r="M46" i="8" s="1"/>
  <c r="R5" i="7" s="1"/>
  <c r="AB131" i="1"/>
  <c r="M27" i="8" s="1"/>
  <c r="D71" i="11" s="1"/>
  <c r="K200" i="8"/>
  <c r="K199" i="8" s="1"/>
  <c r="E42" i="17" s="1"/>
  <c r="K204" i="8"/>
  <c r="K203" i="8" s="1"/>
  <c r="M15" i="8"/>
  <c r="D52" i="11" s="1"/>
  <c r="AB31" i="1"/>
  <c r="M11" i="8" s="1"/>
  <c r="S7" i="11" s="1"/>
  <c r="Z31" i="1"/>
  <c r="E52" i="11"/>
  <c r="K11" i="8"/>
  <c r="K42" i="8"/>
  <c r="Z171" i="1"/>
  <c r="K50" i="8"/>
  <c r="K47" i="8" s="1"/>
  <c r="E104" i="10"/>
  <c r="K88" i="8"/>
  <c r="Z91" i="2"/>
  <c r="Z3" i="2" s="1"/>
  <c r="Z3" i="6"/>
  <c r="K198" i="8" s="1"/>
  <c r="J3" i="1"/>
  <c r="E4" i="8" s="1"/>
  <c r="E3" i="8" s="1"/>
  <c r="L91" i="1"/>
  <c r="L3" i="1" s="1"/>
  <c r="H4" i="8" s="1"/>
  <c r="P4" i="7" s="1"/>
  <c r="AB105" i="1"/>
  <c r="AB91" i="1" s="1"/>
  <c r="I3" i="6"/>
  <c r="D198" i="8" s="1"/>
  <c r="E24" i="8"/>
  <c r="E20" i="8" s="1"/>
  <c r="J199" i="8"/>
  <c r="F199" i="8" s="1"/>
  <c r="D6" i="17" s="1"/>
  <c r="F200" i="8"/>
  <c r="Z91" i="1"/>
  <c r="D20" i="8"/>
  <c r="D73" i="8"/>
  <c r="K64" i="8"/>
  <c r="E58" i="10"/>
  <c r="D26" i="8"/>
  <c r="O8" i="10"/>
  <c r="D57" i="10" s="1"/>
  <c r="D58" i="10"/>
  <c r="R8" i="11"/>
  <c r="D5" i="8"/>
  <c r="O7" i="10"/>
  <c r="D37" i="10" s="1"/>
  <c r="D203" i="8"/>
  <c r="D64" i="8"/>
  <c r="D6" i="11"/>
  <c r="D10" i="10"/>
  <c r="G26" i="8"/>
  <c r="R9" i="11" s="1"/>
  <c r="D88" i="8"/>
  <c r="J47" i="8"/>
  <c r="F47" i="8" s="1"/>
  <c r="W130" i="1"/>
  <c r="F130" i="1" s="1"/>
  <c r="K27" i="8"/>
  <c r="K21" i="8"/>
  <c r="AB151" i="1"/>
  <c r="M21" i="8"/>
  <c r="D47" i="8"/>
  <c r="G203" i="8"/>
  <c r="L7" i="17" s="1"/>
  <c r="D11" i="8"/>
  <c r="W4" i="2"/>
  <c r="F4" i="2" s="1"/>
  <c r="K3" i="2"/>
  <c r="G46" i="8" s="1"/>
  <c r="N6" i="10" s="1"/>
  <c r="Y3" i="2"/>
  <c r="J46" i="8" s="1"/>
  <c r="F46" i="8" s="1"/>
  <c r="U4" i="2"/>
  <c r="D199" i="8"/>
  <c r="L199" i="8"/>
  <c r="U3" i="6"/>
  <c r="U91" i="1"/>
  <c r="U3" i="1" s="1"/>
  <c r="D34" i="8"/>
  <c r="W91" i="1"/>
  <c r="F91" i="1" s="1"/>
  <c r="AA91" i="1"/>
  <c r="G34" i="8"/>
  <c r="R10" i="11" s="1"/>
  <c r="J203" i="8"/>
  <c r="F203" i="8" s="1"/>
  <c r="D7" i="17" s="1"/>
  <c r="G199" i="8"/>
  <c r="L6" i="17" s="1"/>
  <c r="W130" i="2"/>
  <c r="F130" i="2" s="1"/>
  <c r="U130" i="2"/>
  <c r="U164" i="2"/>
  <c r="G73" i="8"/>
  <c r="N10" i="10" s="1"/>
  <c r="J73" i="8"/>
  <c r="F73" i="8" s="1"/>
  <c r="J88" i="8"/>
  <c r="F88" i="8" s="1"/>
  <c r="J68" i="8"/>
  <c r="F68" i="8" s="1"/>
  <c r="D8" i="10" s="1"/>
  <c r="J34" i="8"/>
  <c r="F34" i="8" s="1"/>
  <c r="L5" i="8"/>
  <c r="L11" i="8"/>
  <c r="J11" i="8"/>
  <c r="F11" i="8" s="1"/>
  <c r="AA164" i="2"/>
  <c r="AA3" i="2" s="1"/>
  <c r="L46" i="8" s="1"/>
  <c r="L47" i="8"/>
  <c r="L80" i="8"/>
  <c r="J65" i="8"/>
  <c r="F65" i="8" s="1"/>
  <c r="L65" i="8"/>
  <c r="L35" i="8"/>
  <c r="AA171" i="1"/>
  <c r="K91" i="1"/>
  <c r="K3" i="1" s="1"/>
  <c r="G4" i="8" s="1"/>
  <c r="J30" i="8"/>
  <c r="F30" i="8" s="1"/>
  <c r="I91" i="1"/>
  <c r="I3" i="1" s="1"/>
  <c r="L30" i="8"/>
  <c r="I3" i="2"/>
  <c r="D46" i="8" s="1"/>
  <c r="U91" i="2"/>
  <c r="Y3" i="6"/>
  <c r="J198" i="8" s="1"/>
  <c r="F198" i="8" s="1"/>
  <c r="D5" i="17" s="1"/>
  <c r="K3" i="6"/>
  <c r="G198" i="8" s="1"/>
  <c r="L5" i="17" s="1"/>
  <c r="W3" i="6"/>
  <c r="L25" i="8"/>
  <c r="Y3" i="1"/>
  <c r="J25" i="8"/>
  <c r="F25" i="8" s="1"/>
  <c r="F91" i="2"/>
  <c r="J24" i="8"/>
  <c r="Z3" i="1" l="1"/>
  <c r="K4" i="8" s="1"/>
  <c r="E5" i="11" s="1"/>
  <c r="E43" i="17"/>
  <c r="E53" i="17"/>
  <c r="D48" i="11"/>
  <c r="K46" i="8"/>
  <c r="E40" i="10"/>
  <c r="E90" i="11"/>
  <c r="K34" i="8"/>
  <c r="E48" i="11"/>
  <c r="E7" i="11"/>
  <c r="E103" i="10"/>
  <c r="E11" i="10"/>
  <c r="E7" i="17"/>
  <c r="E52" i="17"/>
  <c r="K9" i="7"/>
  <c r="G9" i="7" s="1"/>
  <c r="N9" i="7" s="1"/>
  <c r="E5" i="17"/>
  <c r="E6" i="17"/>
  <c r="K30" i="8"/>
  <c r="E74" i="11" s="1"/>
  <c r="AA3" i="1"/>
  <c r="L4" i="8" s="1"/>
  <c r="F24" i="8"/>
  <c r="M24" i="8"/>
  <c r="D64" i="11" s="1"/>
  <c r="M20" i="8"/>
  <c r="S8" i="11" s="1"/>
  <c r="D60" i="11" s="1"/>
  <c r="AB148" i="1"/>
  <c r="AB130" i="1" s="1"/>
  <c r="M26" i="8" s="1"/>
  <c r="S9" i="11" s="1"/>
  <c r="D70" i="11" s="1"/>
  <c r="R5" i="11"/>
  <c r="H3" i="8"/>
  <c r="P3" i="7" s="1"/>
  <c r="D5" i="10"/>
  <c r="O6" i="10"/>
  <c r="D9" i="10"/>
  <c r="E4" i="7"/>
  <c r="F4" i="7" s="1"/>
  <c r="D5" i="19" s="1"/>
  <c r="F5" i="19" s="1"/>
  <c r="E3" i="7"/>
  <c r="K20" i="8"/>
  <c r="E61" i="11"/>
  <c r="E57" i="10"/>
  <c r="E7" i="10"/>
  <c r="D61" i="11"/>
  <c r="E71" i="11"/>
  <c r="E37" i="10"/>
  <c r="E6" i="10"/>
  <c r="D6" i="10"/>
  <c r="D10" i="11"/>
  <c r="D7" i="11"/>
  <c r="D11" i="10"/>
  <c r="O5" i="7"/>
  <c r="G3" i="8"/>
  <c r="O3" i="7" s="1"/>
  <c r="W3" i="1"/>
  <c r="J26" i="8"/>
  <c r="F26" i="8" s="1"/>
  <c r="D9" i="11" s="1"/>
  <c r="U3" i="2"/>
  <c r="W3" i="2"/>
  <c r="F9" i="7"/>
  <c r="D10" i="19" s="1"/>
  <c r="F10" i="19" s="1"/>
  <c r="O9" i="7"/>
  <c r="O4" i="7"/>
  <c r="J64" i="8"/>
  <c r="F64" i="8" s="1"/>
  <c r="D7" i="10" s="1"/>
  <c r="L26" i="8"/>
  <c r="L64" i="8"/>
  <c r="L34" i="8"/>
  <c r="L20" i="8"/>
  <c r="D4" i="8"/>
  <c r="F5" i="7"/>
  <c r="D6" i="19" s="1"/>
  <c r="F6" i="19" s="1"/>
  <c r="J20" i="8"/>
  <c r="F20" i="8" s="1"/>
  <c r="D8" i="11" s="1"/>
  <c r="K5" i="7" l="1"/>
  <c r="G5" i="7" s="1"/>
  <c r="N5" i="7" s="1"/>
  <c r="E5" i="10"/>
  <c r="H29" i="9"/>
  <c r="H32" i="9" s="1"/>
  <c r="F3" i="7"/>
  <c r="D4" i="19" s="1"/>
  <c r="F4" i="19" s="1"/>
  <c r="E82" i="11"/>
  <c r="E10" i="11"/>
  <c r="K26" i="8"/>
  <c r="E70" i="11" s="1"/>
  <c r="AB3" i="1"/>
  <c r="M4" i="8" s="1"/>
  <c r="M30" i="8"/>
  <c r="D74" i="11" s="1"/>
  <c r="E60" i="11"/>
  <c r="E8" i="11"/>
  <c r="K3" i="8"/>
  <c r="K4" i="7"/>
  <c r="G4" i="7" s="1"/>
  <c r="N4" i="7" s="1"/>
  <c r="D3" i="8"/>
  <c r="L3" i="8"/>
  <c r="J4" i="8"/>
  <c r="F4" i="8" s="1"/>
  <c r="D5" i="11" s="1"/>
  <c r="G116" i="8"/>
  <c r="N11" i="12" s="1"/>
  <c r="I29" i="9" l="1"/>
  <c r="F23" i="9" s="1"/>
  <c r="M3" i="8"/>
  <c r="R3" i="7" s="1"/>
  <c r="R4" i="7"/>
  <c r="E9" i="11"/>
  <c r="S5" i="11"/>
  <c r="K3" i="7"/>
  <c r="G3" i="7" s="1"/>
  <c r="N3" i="7" s="1"/>
  <c r="G17" i="9"/>
  <c r="M38" i="9" s="1"/>
  <c r="H41" i="9" s="1"/>
  <c r="H49" i="9" s="1"/>
  <c r="J3" i="8"/>
  <c r="F3" i="8" s="1"/>
  <c r="H47" i="9" l="1"/>
  <c r="H45" i="9"/>
  <c r="H34" i="9"/>
  <c r="H43" i="9" s="1"/>
  <c r="J116" i="8"/>
  <c r="F116" i="8" s="1"/>
  <c r="D11" i="12" s="1"/>
  <c r="J143" i="8" l="1"/>
  <c r="F143" i="8" s="1"/>
  <c r="D10" i="13" s="1"/>
  <c r="G143" i="8"/>
  <c r="O11" i="13" s="1"/>
  <c r="J184" i="8" l="1"/>
  <c r="F184" i="8" s="1"/>
  <c r="D10" i="15" s="1"/>
  <c r="G178" i="8" l="1"/>
  <c r="N9" i="15" s="1"/>
  <c r="G101" i="8"/>
  <c r="N8" i="12" s="1"/>
  <c r="J178" i="8" l="1"/>
  <c r="F178" i="8" s="1"/>
  <c r="D9" i="15" s="1"/>
  <c r="J136" i="8"/>
  <c r="F136" i="8" s="1"/>
  <c r="D9" i="13" s="1"/>
  <c r="G136" i="8"/>
  <c r="O10" i="13" s="1"/>
  <c r="G120" i="8" l="1"/>
  <c r="N12" i="12" s="1"/>
  <c r="G124" i="8" l="1"/>
  <c r="O7" i="13" s="1"/>
  <c r="J124" i="8" l="1"/>
  <c r="F124" i="8" s="1"/>
  <c r="D6" i="13" s="1"/>
</calcChain>
</file>

<file path=xl/sharedStrings.xml><?xml version="1.0" encoding="utf-8"?>
<sst xmlns="http://schemas.openxmlformats.org/spreadsheetml/2006/main" count="17428" uniqueCount="2598">
  <si>
    <t>LINEA ESTRATEGICA/COMPONENTE IMPULSOR/ PROGRAMA/ PRODUCTO (INDICADOR)/ META PRODUCTO</t>
  </si>
  <si>
    <t>RESPONSABLE(S)</t>
  </si>
  <si>
    <t>VALORACIÓN PONDERACIÓN % (PROPUESTA)</t>
  </si>
  <si>
    <t>META PRODUCTO (PRODUCTO NUMERICO CUATRIENIO)</t>
  </si>
  <si>
    <t>PROGRAMADO NUMERICO META PRODUCTO 2024</t>
  </si>
  <si>
    <t>ESPERADO PORCENTUAL META PRODUCTO CUATRIENIO EN LA VIGENCIA 2024</t>
  </si>
  <si>
    <t>ESPERADO PORCENTUAL META PRODUCTO CUATRIENIO EN LA VIGENCIA 2024 (PONDERADOR)</t>
  </si>
  <si>
    <t>LOGRO  (%) META PRODUCTO RESPECTO AL PROGRAMADO 2024 CORTE DICIEMBRE</t>
  </si>
  <si>
    <t>LOGRO  (%) META PRODUCTO RESPECTO AL PROGRAMADO DICIEMBRE 2024 (PONDERADOR)</t>
  </si>
  <si>
    <t xml:space="preserve"> Seguridad Ciudadana y Orden Público 
</t>
  </si>
  <si>
    <t>Comandos Élites de la Policía Nacional para la seguridad y protección ciudadana equipados</t>
  </si>
  <si>
    <t>Equipar tres (3) Comandos Élites de la Policía Nacional para la seguridad y protección ciudadana</t>
  </si>
  <si>
    <t>SECRETARÍA DEL INTERIOR Y CONVIVENCIA CIUDADANA</t>
  </si>
  <si>
    <t xml:space="preserve">Equipos para la seguridad y la convivencia conformados
</t>
  </si>
  <si>
    <t xml:space="preserve">Conformar un (1) Equipo Interdisciplinario para articulación y coordinación de estrategias de seguridad y un (1) Equipo Operativo de Gestores de Convivencia
</t>
  </si>
  <si>
    <t>Organismos de Seguridad dotados y
con servicios en el marco del PISCC 2024-2027</t>
  </si>
  <si>
    <t>Dotar y proveer de servicios a cinco (5) organismos de seguridad en el marco del PISCC 2024-2027</t>
  </si>
  <si>
    <t>Centro de Procesamiento de Información Institucional y análisis situacional para el Seguimiento del Delito conformado</t>
  </si>
  <si>
    <t>Conformar un (1) Centro de Procesamiento de Información Institucional y análisis situacional para el Seguimiento del Delito</t>
  </si>
  <si>
    <t>Política Pública de Seguridad Humana Integral formulada</t>
  </si>
  <si>
    <t>Formular una (1) Política Pública de Seguridad Humana Integral</t>
  </si>
  <si>
    <t>Operativos anuales de protección, defensa, recuperación de bienes de uso público marino costero desarrollados</t>
  </si>
  <si>
    <t>Desarrollar diez (10) operativos anuales de protección, defensa, recuperación de bienes de uso público marino costero en el Distrito a través del ECOBLOQUE</t>
  </si>
  <si>
    <t>Estaciones de bomberos nuevas construidas</t>
  </si>
  <si>
    <t>Construir una (1) Estación de Bomberos regional nueva</t>
  </si>
  <si>
    <t>Estaciones de bomberos adecuadas</t>
  </si>
  <si>
    <t>Adecuar una (1) Estación de Bomberos</t>
  </si>
  <si>
    <t>Número de máquinas extintoras del Cuerpo de Bomberos para la atención de emergencias</t>
  </si>
  <si>
    <t>Incrementar a ocho (8) el número de máquinas extintoras del Cuerpo de Bomberos para la atención de emergencias</t>
  </si>
  <si>
    <t>Cámaras de seguridad mantenidas</t>
  </si>
  <si>
    <t>Mantener ochocientas setenta y nueve (879) cámaras</t>
  </si>
  <si>
    <t>DISTRISEGURIDAD</t>
  </si>
  <si>
    <t>Cámaras de seguridad instaladas</t>
  </si>
  <si>
    <t>Instalar ochocientas cuarenta y nueve (849) cámaras nuevas</t>
  </si>
  <si>
    <t>Sistemas de información para la seguidad implementados</t>
  </si>
  <si>
    <t>Equipos de seguridad adquiridos</t>
  </si>
  <si>
    <t xml:space="preserve">Adquirir ciento veinte  (120) equipos de comunicación para la seguridad (tipo radio, equipos celulares) 
</t>
  </si>
  <si>
    <t>Infraestructura para la promoción a la cultura de la legalidad y a la convivencia construida</t>
  </si>
  <si>
    <t xml:space="preserve">Construir cuatro (4) infraestructuras para la promoción de la cultura de la legalidad y la convivencia CAIs, subestaciones, estaciones, centro de inteligencia) 
</t>
  </si>
  <si>
    <t>Vehículos para la seguridad y convivencia entregados</t>
  </si>
  <si>
    <t>Entregar doscientos sesenta y ocho (268) vehículos para la seguridad (moto, camioneta, automóvil, camión, cuatrimotos, jet sky)</t>
  </si>
  <si>
    <t>Organismos de atención de emergencias en las playas equipados</t>
  </si>
  <si>
    <t>Equipar a cuatro (4) organismos de atención de emergencias en playas</t>
  </si>
  <si>
    <t>DISTRISEGURIDAD - SECRETARÍA DE TURISMO</t>
  </si>
  <si>
    <t>Infraestructura para seguridad y socorro en playas tipo Garitas</t>
  </si>
  <si>
    <t>Construir veinte (20) garitas nuevas para la seguridad en playas</t>
  </si>
  <si>
    <t>Numero de actores viales capacitados  en educación y cultura para la seguridad vial</t>
  </si>
  <si>
    <t>Formar a cien mil (100.000) actores viales en educación y cultura para la seguridad vial</t>
  </si>
  <si>
    <t>DATT</t>
  </si>
  <si>
    <t>Número de mujeres formadas y vinculadas como gestoras de educación, cultura y seguridad vial</t>
  </si>
  <si>
    <t>Formar y vincular a cuatrocientas (400) mujeres como gestoras de educación, cultura y seguridad vial</t>
  </si>
  <si>
    <t>Plan Local de Seguridad Vial actualizado e implementado</t>
  </si>
  <si>
    <t>Actualizar e implementar en su totalidad un (1) Plan Local de Seguridad Vial</t>
  </si>
  <si>
    <t>Número de instituciones educativas vinculadas al programa de Rutas Educativas Seguras</t>
  </si>
  <si>
    <t>Vincular a ciento ochenta (180) Instituciones Educativas al programa Rutas Educativas Seguras</t>
  </si>
  <si>
    <t xml:space="preserve">Construccion de paz, Derechos Humanos y Convivencia
</t>
  </si>
  <si>
    <t>Número de mujeres víctimas de VBG o en riesgo de padecerla atendidas en servicios de orientación psicosocial y jurídica</t>
  </si>
  <si>
    <t>Atender a cinco mil (5.000) mujeres víctimas de violencia basada en género o en riesgo de padecerla con servicios de orientación psicosocial y jurídica</t>
  </si>
  <si>
    <t>SECRETARÍA DE PARTICIPACIÓN Y DESARROLLO SOCIAL</t>
  </si>
  <si>
    <t>Número de mujeres víctimas de violencia, sus hijos e hijas y familia dependiente protegidas en la casa refugio</t>
  </si>
  <si>
    <t>Proteger doscientas (200) mujeres víctimas de violencia, sus hijos e hijas y familia dependiente en la casa refugio</t>
  </si>
  <si>
    <t>Número de campañas sobre nuevas masculinidades como estrategia de prevención y erradicación contra estereotipos nocivos de género ejecutadas</t>
  </si>
  <si>
    <t>Ejecutar cuatro (4) campañas sobre nuevas masculinidades como estrategia de prevención y erradicación contra estereotipos nocivos de género</t>
  </si>
  <si>
    <t>Mujeres víctimas del conflicto armado como constructoras de paz desde la prevención de las violencias basadas en género</t>
  </si>
  <si>
    <t>Vincular a doscientas (200) mujeres víctimas del conflicto armado como constructoras de paz en estrategias de prevención de las violencias basadas en género</t>
  </si>
  <si>
    <t>Número de acciones afirmativas ejecutadas para la asistencia y la atención de mujeres víctimas del conflicto armado</t>
  </si>
  <si>
    <t>Ejecutar una (1) acción afirmativa anual para la asistencia y la atención de mujeres víctimas del conflicto armado</t>
  </si>
  <si>
    <t>Centro de traslado para la protección inmediata de las mujeres víctimas de cualquier forma de violencias creado y en funcionamiento en el Distrito</t>
  </si>
  <si>
    <t>Crear y poner en funcionamiento un (1) Centro de Traslado por Protección-CTP en el Distrito</t>
  </si>
  <si>
    <t>Entornos urbanos para la convivencia recuperados y mantenidos</t>
  </si>
  <si>
    <t>Recuperar y mantener veinte (20) entornos urbanos para la convivencia en el Distrito</t>
  </si>
  <si>
    <t>Escuelas de formación para la convivencia ciudadana creadas</t>
  </si>
  <si>
    <t>Crear doce (12) escuelas de formación para la convivencia ciudadana en el Distrito</t>
  </si>
  <si>
    <t>Iniciativas para la promoción de la convivencia implementadas</t>
  </si>
  <si>
    <t>Implementar ocho (8) iniciativas para la promoción de la convivencia</t>
  </si>
  <si>
    <t>Número de Comisarías de Familia en operación en el Distrito</t>
  </si>
  <si>
    <t>Incrementar a ocho (8) el número de Comisarías de Familia operando en el Distrito</t>
  </si>
  <si>
    <t>Número de Comisarías de Familia móviles creadas y en operación en el Distrito</t>
  </si>
  <si>
    <t>Crear y poner en funcionamiento una (1) Comisaría de Familia móvil en el Distrito</t>
  </si>
  <si>
    <t>Número de mujeres vinculadas con la estrategia “Trasmallo de Mujeres Violetas por la Paz”</t>
  </si>
  <si>
    <t>Vincular a mil doscientos (1.200) mujeres con la estrategia “Trasmallo de Mujeres Violetas por la Paz”</t>
  </si>
  <si>
    <t>Sistemas de información local implementados para los operadores de justicia</t>
  </si>
  <si>
    <t>Implementar un (1) sistema de información local de las Comisarías de Familia del Distrito y un (1) sistema de información local de las Inspecciones de Policía</t>
  </si>
  <si>
    <t>Número de Casas de Justicia en operación en el Distrito</t>
  </si>
  <si>
    <t>Incrementar a cinco (5) el número de Casas de Justicia en operación en el Distrito</t>
  </si>
  <si>
    <t>Centros de Conciliación en Equidad y/o Derecho creados en las Casas de Justicia</t>
  </si>
  <si>
    <t>Crear cinco (5) Centros de Conciliación en Equidad y/o Derecho en las Casas de Justicia del Distrito</t>
  </si>
  <si>
    <t>Inspecciones de Policía dotadas técnica y operativamente</t>
  </si>
  <si>
    <t>Dotar treinta y tres (33) Inspecciones de Policía técnica, tecnológica y operativamente.</t>
  </si>
  <si>
    <t>Adolescentes y jóvenes vinculados con la estrategia “Laboratorios de Paz” para la prevención del reclutamiento, uso y utilización por parte de los GDO</t>
  </si>
  <si>
    <t>Vincular a dos mil quinientos (2.500) jóvenes a la estrategia “Laboratorios De Paz” para la prevención del reclutamiento por parte de los GDO</t>
  </si>
  <si>
    <t>Jornadas de mediación y desarme con grupos juveniles inmersos en dinámicas de violencia desarrolladas</t>
  </si>
  <si>
    <t>Desarrollar cuatro (4) jornadas de mediación y desarme con grupos juveniles inmersos en dinámicas de violencias</t>
  </si>
  <si>
    <t>Adolescentes y jóvenes vinculados a la estrategia “Proyectos de Vida Libres de Violencia” para la prevención del reclutamiento, uso y utilización por parte de los GDO</t>
  </si>
  <si>
    <t>Vincular a dos mil quinientos (2.500) adolescentes y jóvenes a la estrategia “Proyectos de Vida Libres de Violencia” para la prevención del reclutamiento, uso y utilización por parte de los GDO</t>
  </si>
  <si>
    <t>Estrategias de atención a adolescentes y jóvenes egresados del Sistema de Responsabilidad Penal Adolescentes implementadas</t>
  </si>
  <si>
    <t>Implementar cuatro (4) estrategias de atención a adolescentes y jóvenes egresados del Sistema de Responsabilidad Penal Adolescente</t>
  </si>
  <si>
    <t>Unidades productivas entregadas a personas víctimas del conflicto</t>
  </si>
  <si>
    <t>Entregar mil (1.000) unidades productivas a personas víctimas del conflicto</t>
  </si>
  <si>
    <t>Personas víctimas del conflicto que acceden a programas de atención psicosocial y salud mental</t>
  </si>
  <si>
    <t>Vincular a mil (1.000) personas víctimas del conflicto a programas de atención psicosocial y salud mental</t>
  </si>
  <si>
    <t>Personas víctimas con ayuda humanitaria inmediata</t>
  </si>
  <si>
    <t xml:space="preserve">Atender a la totalidad de personas víctimas que cumplan con los requisitos de ley para acceder a la medida de ayuda humanitaria inmediata 
</t>
  </si>
  <si>
    <t>Personas víctimas con ayuda inmediata mediante albergue</t>
  </si>
  <si>
    <t xml:space="preserve">Atender a la totalidad de personas víctimas que cumplan con los requisitos de ley para acceder a la medida de ayuda humanitaria inmediata mediante albergue 
</t>
  </si>
  <si>
    <t>Representante s de la mesa de víctimas en el Distrito con incentivos técnicos y logísticos para su participación.</t>
  </si>
  <si>
    <t>Mantener los incentivos técnicos y logísticos de participación a la totalidad de los representantes de la población víctima en la Mesa Distrital de Víctimas de Cartagena.</t>
  </si>
  <si>
    <t>Museo de Memoria Histórica onstruido y dotado</t>
  </si>
  <si>
    <t>Construir y dotar un (1) Museo de Memoria Histórica</t>
  </si>
  <si>
    <t>Monumento histórico construido en cumplimientoalauto A I068 de la JEP</t>
  </si>
  <si>
    <t>Construir un (1) monumento histórico en cumplimiento del auto AI 068 de la Jurisdicción Especial para la Paz</t>
  </si>
  <si>
    <t>Plan de retorno y reubicaciones de Villas de Aranjuez concertado e implementado</t>
  </si>
  <si>
    <t>Concertar e implementar un (1) Plan de Retorno y reubicación de Villas de Aranjuez</t>
  </si>
  <si>
    <t>Plan Distrital de prevención y protección de violaciones graves a los derechos humanos y derecho internacional humanitario implementado</t>
  </si>
  <si>
    <t>Implementar un (1) Plan Distrital de prevención y protección de violaciones graves a los derechos humanos y derecho internacional humanitario</t>
  </si>
  <si>
    <t>Plan de acción territorial - PAT actualizado , aprobado e implementado</t>
  </si>
  <si>
    <t>Actualizar, aprobar e implementar un (1) Plan de Acción Territorial -PAT</t>
  </si>
  <si>
    <t>Plan de Contingencia formulado</t>
  </si>
  <si>
    <t>formular 1 plan de Contingencia para la atención inmediata de víctima en el distrito de cartagena</t>
  </si>
  <si>
    <t>Plan integral de reparación colectiva de la liga de mujeres desplazadas concertado e implementado</t>
  </si>
  <si>
    <t>Implementar un (1) Plan Integral de Reparación Colectiva de la Liga de Mujeres Desplazadas</t>
  </si>
  <si>
    <t>Consejo de Paz , Reconciliación , Convivencia y DDHH en el Distrito de Cartagena con plan de acción implementado</t>
  </si>
  <si>
    <t>Implementar el plan de acción de un (1) Consejo de Paz, Reconciliación, Convivencia y DDHH en el Distrito</t>
  </si>
  <si>
    <t>Iniciativas de memoria histórica apoyadas</t>
  </si>
  <si>
    <t>Asistir ocho (8) iniciativas de memoria histórica</t>
  </si>
  <si>
    <t>Acciones de difusión de las recomendaciones de la Comisión para el esclarecimiento de la verdad , la convivencia y la no repetición implementadas</t>
  </si>
  <si>
    <t>Implementar cuatro (4) acciones de difusión de las recomendacio nes de la Comisión para el Esclarecimiento de la Verdad, la Convivencia y la no repetición</t>
  </si>
  <si>
    <t>Acciones de articulación con la Unidad de Búsqueda de Personas dadas por DesaparecidasUBPD implementadas</t>
  </si>
  <si>
    <t>Implementar ocho (8) acciones de articulación con la Unidad de Búsqueda de Personas dadas por Desaparecidas -UBPD para impulsar la búsqueda de personas dadas por desaparecidas en el marco del conflicto armado</t>
  </si>
  <si>
    <t>Medidas de satisfacción y memoria histórica ejecutadas</t>
  </si>
  <si>
    <t>Ejecutar dos (2) medidas de memoria histórica para población víctima</t>
  </si>
  <si>
    <t>Sede propia para la Mesa Distrital de Víctimas garantizada</t>
  </si>
  <si>
    <t>Garantizar una (1) Sede de mesa de propia para la mesa de Distrital de Victimas</t>
  </si>
  <si>
    <t>Estrategia de oferta de atención interinstitucional del Distrito en el Centro Regional de Atención a Víctimas implementada</t>
  </si>
  <si>
    <t>Implementar una (1) estrategia de oferta de atención interinstitucional del Distrito en el Centro Regional de Atención a Víctimas</t>
  </si>
  <si>
    <t>Estrategias de promoción de la garantía de derechos implementadas</t>
  </si>
  <si>
    <t>Implementar ocho (8) estrategias de promoción de la garantía de derechos</t>
  </si>
  <si>
    <t>Solicitudes de medidas de protección preventiva atendidas</t>
  </si>
  <si>
    <t>Atender la totalidad de las solicitudes de medidas de protección preventiva</t>
  </si>
  <si>
    <t>Grupos de gestores y gestoras de Derechos Humanos creados</t>
  </si>
  <si>
    <t>Crear nueve (9) grupos de gestores y gestoras de Derechos Humanos</t>
  </si>
  <si>
    <t>Casa de acogida para víctimas y sobrevivientes de la trata de personas y mendicidad forzada creada y en funcionamiento</t>
  </si>
  <si>
    <t>Crear y poner en funcionamiento una (1) casa de acogida para víctimas y sobrevivientes de la trata de personas y mendicidad forzada</t>
  </si>
  <si>
    <t>Número de estrategias implementadas para la prevención de casos de víctimas de trata de personas</t>
  </si>
  <si>
    <t>Implementar cuatro (4) estrategias de prevención de casos de víctimas de trata de personas en coordinación con los comités territoriales de lucha contra la trata de personas</t>
  </si>
  <si>
    <t>Instancias institucionales creadas para la atención y garantía del derecho de libertad religiosa en el Distrito</t>
  </si>
  <si>
    <t>Mantener una (1) instancia institucional para atención y garantía del derecho de libertad religiosa en el Distrito</t>
  </si>
  <si>
    <t>Población víctima y sobreviviente de la trata de personas atendida</t>
  </si>
  <si>
    <t>Atender a la totalidad de víctimas sobrevivientes de explotación sexual y de mendicidad forzada</t>
  </si>
  <si>
    <t>Personas en proceso de reintegración y reincorporación vinculadas para la reinserción social y comunitaria y de participación</t>
  </si>
  <si>
    <t>Vincular a ochenta y seis (86) personas en proceso de reintegración y reincorporación a beneficios para la reinserción social y comunitaria y de participación</t>
  </si>
  <si>
    <t>Ruta de protección preventiva para líderes amenazados en el Distrito implementada</t>
  </si>
  <si>
    <t>Implementar una (1) ruta de protección preventiva para líderes amenazados en el Distrito</t>
  </si>
  <si>
    <t>Establecimiento de reclusión distrital para personas privadas de la libertad femeninas y masculinas operando en un inmueble del Distrito</t>
  </si>
  <si>
    <t>Poner en operación un (1) establecimiento de reclusión distrital para personas privadas de la libertad femeninas y masculinas en un inmueble del Distrito</t>
  </si>
  <si>
    <t>Personas privadas de la libertad vinculadas a programas psicosociales</t>
  </si>
  <si>
    <t>Vincular a ciento cincuenta (150) personas privadas de la libertad a programas psicosociales</t>
  </si>
  <si>
    <t>Convenio con el INPEC suscrito anualmente</t>
  </si>
  <si>
    <t>Suscribir anualmente (1) convenio con el INPEC</t>
  </si>
  <si>
    <t xml:space="preserve"> Salud Pública y Aseguramiento
</t>
  </si>
  <si>
    <t>Número de usuarios con continuidad de la afiliación al régimen subsidiado en salud en el Distrito de Cartagena</t>
  </si>
  <si>
    <t>Mantener la continuidad anual de la afiliación a seiscientas setenta y nueve mil quinientas cincuenta y cinco (679.555) personas que están afiliados al régimen subsidiado en salud</t>
  </si>
  <si>
    <t>DEPARTAMENTO ADMINISTRATIVO DISTRITAL DE SALUD DADIS</t>
  </si>
  <si>
    <t>Número de personas nuevas afiliadas al sistema general de seguridad social en salud</t>
  </si>
  <si>
    <t>Afiliar a veinte mil (20.000) personas nuevas al Sistema General de Seguridad Social en Salud (con o sin SISBEN)</t>
  </si>
  <si>
    <t>Número de servicios de salud habilitados para atender Población No Asegurada</t>
  </si>
  <si>
    <t>Mantener habilitados ciento cuarenta y dos (142) servicios de salud anualmente para la red integrada de salud del Distrito</t>
  </si>
  <si>
    <t>Numero de equipos básicos de salud que operan en el Distrito monitoreados y evaluados</t>
  </si>
  <si>
    <t>Monitorear y evaluar a sesenta y dos (62) Equipos Básicos de Salud que operan en el Distrito</t>
  </si>
  <si>
    <t>Número de prestadores de servicios de salud con asistencia técnica de inspección, vigilancia y control para mejoramiento de la calidad de la atención en salud en IPS oncológicas, pediátricas y maternas</t>
  </si>
  <si>
    <t>Inspeccionar, vigilar y controlar a sesenta (60) prestadores de salud para mejoramiento de la calidad de la atención en salud en IPS oncológicas, pediátricas y maternas</t>
  </si>
  <si>
    <t>Centros de salud nuevos construidos para la protección y el aseguramiento en salud en el Distrito de Cartagena</t>
  </si>
  <si>
    <t>Construir dos (2) nuevos centros de salud en el distrito de Cartagena para la protección y el aseguramiento en salud</t>
  </si>
  <si>
    <t>SECRETARÍA DE INFRAESTRUCTURA - DEPARTAMENTO ADMINISTRATIVO DISTRITAL DE SALUD DADIS</t>
  </si>
  <si>
    <t>Número de personas con valoración clínica multidisciplinaria simultánea elaborada con resultado de condición de discapacidad</t>
  </si>
  <si>
    <t>Elaborar valoraciones clínicas multidisciplinaria del procedimiento de certificación de discapacidad y Registro de Localización y Certificación de Personas con Discapacidad a diez mil (10.000) personas del Distrito</t>
  </si>
  <si>
    <t xml:space="preserve">Número de personas pertenecientes a los grupos poblaciones vulnerables participantes en estrategias de promoción de la participación social en salud
</t>
  </si>
  <si>
    <t>Vincular a treinta mil (30.000) personas en estrategias de promoción de la participación social en salud con paridad de género (pertenecientes a los grupos poblaciones vulnerables</t>
  </si>
  <si>
    <t xml:space="preserve">Número de IPS asistidas con servicios del Plan de Emergencia Hospitalaria y desarrollo de capacidades en las competencias frente a las adaptaciones de posibles efectos de la variabilidad y el cambio climático 
</t>
  </si>
  <si>
    <t>Asistir anualmente a veintinueve (29) IPS con servicios del Plan de Emergencia Hospitalaria y desarrollo de capacidades en las competencias frente a las adaptaciones de posibles efectos de la variabilidad y el cambio climático</t>
  </si>
  <si>
    <t>Centro Regulador De Urgencias construido y dotado con tecnología de punta</t>
  </si>
  <si>
    <t>Construir y dotar un (1) Centro Regulador de Urgencias y Emergencias con tecnología de punta</t>
  </si>
  <si>
    <t>Número de procesos de gestión de la salud pública en el marco de la ruta integral para la promoción y mantenimiento de la salud implementados</t>
  </si>
  <si>
    <t>Implementar cuatro (4) procesos de gestión de la salud pública en el marco de la ruta integral para la promoción y mantenimiento de la salud</t>
  </si>
  <si>
    <t>Número de establecimientos farmacéuticos y similares  vigilados y controlados con enfoque de riesgo</t>
  </si>
  <si>
    <t>Vigilar y controlar anualmente con enfoque de riesgo a setecientos (700) establecimientos farmacéuticos y similares</t>
  </si>
  <si>
    <t>Número de tomas de muestras de agua elaboradas y visitas a objetos de interés de la calidad del agua para consumo humano y de diversión</t>
  </si>
  <si>
    <t>Realizar anualmente dos mil cien (2.100) tomas de muestras de agua y visitas a objetos de interés de Inspección, Vigilancia y Control Sanitario (IVCS) de la calidad del agua para consumo humano y de diversión</t>
  </si>
  <si>
    <t>Número de establecimientos de interés sanitario diferentes a establecimientos de medicamentos y alimentos, incluyendo motonaves y aeronaves vigilados y controlados</t>
  </si>
  <si>
    <t>Vigilar y controlar anualmente a siete mil seiscientos (7.600) establecimientos de interés sanitario diferentes a establecimientos de medicamentos y alimentos, incluyendo motonaves y aeronaves</t>
  </si>
  <si>
    <t xml:space="preserve">Número de animales vacunados contra la rabia
</t>
  </si>
  <si>
    <t>Vacunar anualmente noventa mil (90.000) animales contra la rabia</t>
  </si>
  <si>
    <t>Número de grupos de eventos de interés en salud pública con acciones de vigilancia en salud pública y vigilancia comunitaria elaboradas</t>
  </si>
  <si>
    <t>Elaborar anualmente acciones de vigilancia en salud pública y vigilancia comunitaria a diecisiete (17) grupos de eventos de interés en salud pública</t>
  </si>
  <si>
    <t>Número de entidades con acciones de salud pública en enfermedades cardiovasculares, huérfanas, diabetes mellitus, cáncer, salud visual, auditiva y salud bucal desarrolladas en diferentes entornos</t>
  </si>
  <si>
    <t>Desarrollar anualmente acciones de salud pública a doscientas cincuenta (250) entidades en enfermedades cardiovasculares, huérfanas, diabetes mellitus, cáncer, salud visual, auditiva y salud bucal en diferentes entornos</t>
  </si>
  <si>
    <t>Número de productos de la Política Distrital de Salud Mental y Política Nacional para la Prevención y Atención del Consumo de Sustancias Psicoactivas implementados</t>
  </si>
  <si>
    <t>Implementar los diecisiete (17) productos de la Política de Salud Mental y la Política Nacional para la Prevención y Atención del Consumo de Sustancias Psicoactivas</t>
  </si>
  <si>
    <t>Número de entidades de salud con acciones en Rutas Integrales de Atención en Salud relacionadas con las alteraciones nutricionales y promoción de las Guías Alimentarias Basadas en Alimentos</t>
  </si>
  <si>
    <t>Desarrollar anualmente acciones en cuarenta (40) entidades de salud de Rutas Integrales de Atención en Salud relacionadas con las alteraciones nutricionales y promoción de las Guías Alimentarias Basadas en Alimentos (GABAS)</t>
  </si>
  <si>
    <t>Número de establecimientos y transportadores de alimentos vigilados y controlados con enfoque de riesgo</t>
  </si>
  <si>
    <t>Vigilar y controlar anualmente con enfoque de riesgo a tres mil quinientos (3.500) establecimientos y transportadores de alimentos</t>
  </si>
  <si>
    <t>Número de acciones de salud pública desarrolladas para la promoción de la salud materna en entidades de salud y en el entorno comunitario</t>
  </si>
  <si>
    <t>Desarrollar anualmente noventa y cinco (95) acciones de salud pública para promoción de la salud materna en entidades de salud y entorno comunitario</t>
  </si>
  <si>
    <t>Número de acciones de salud pública desarrolladas para promoción de la salud sexual y reproductiva en entidades de salud, entorno comunitario y educativo.</t>
  </si>
  <si>
    <t>Desarrollar anualmente seiscientas setenta y cinco (675) acciones de salud pública para promoción de la salud sexual y reproductiva en entidades de salud, entorno comunitario y educativo, incluyendo el cumplimiento de sentencias como la C-055 de 2022 de la Corte Constitucional</t>
  </si>
  <si>
    <t>Número de niños y niñas menores de un año con seguimiento del esquema de vacunación de acuerdo a la edad desarrollado</t>
  </si>
  <si>
    <t>Desarrollar el seguimiento anual a la vacunación de catorce mil setecientos noventa y seis (14.796) niños y niñas menores de un año con todos los biológicos del esquema de acuerdo a la edad</t>
  </si>
  <si>
    <t>Número de componentes de la Estrategia de Gestión Integrada (EGI) de vectores desarrollada en los microterritorios priorizados</t>
  </si>
  <si>
    <t>Desarrollar anualmente los siete (7) componentes de la Estrategia de Gestión Integrada (EGI) de vectores en los microterritorios priorizados</t>
  </si>
  <si>
    <t>Número de salas de atención a enfermedades respiratorias agudas y Unidades de Atención Integral Comunitaria habilitadas</t>
  </si>
  <si>
    <t>Habilitar treinta (30) salas de atención a atención a enfermedades respiratorias agudas y habilitar dos (2) Unidades de Atención Integral Comunitaria en barrios y corregimientos priorizados para la prevención, manejo y control de la IRA y la EDA en los niños y niñas menores de 5 años</t>
  </si>
  <si>
    <t>Número de estrategias de salud infantil institucionales y comunitarias ejecutadas</t>
  </si>
  <si>
    <t>Ejecutar anualmente estrategias de salud infantil institucionales en setenta (70) instituciones prestadoras de salud priorizadas con servicios de atención materno – infantil y atención del recién nacido y ejecutar dos (2) estrategias comunitarias sobre AIEPI Comunitario y Cuidados del Recién Nacido en los diferentes entornos</t>
  </si>
  <si>
    <t xml:space="preserve">Número de entidades con acciones de salud pública elaboradas sobre prevención y control de la tuberculosis en los
diferentes entornos
</t>
  </si>
  <si>
    <t xml:space="preserve">Elaborar anualmente acciones de salud pública en setenta y cinco (75) entidades sobre prevención y control de la tuberculosis en los diferentes entornos
</t>
  </si>
  <si>
    <t>Número de entidades con acciones de salud pública elaboradas sobre prevención y control de la lepra y prevención de la discapacidad en los diferentes entornos</t>
  </si>
  <si>
    <t>Elaborar anualmente acciones de salud pública en setenta y cinco (75) entidades sobre prevención y control de la lepra y prevención de la discapacidad en los diferentes entornos</t>
  </si>
  <si>
    <t>Número de acciones de promoción de entornos de trabajo seguros y prevención de enfermedades y accidentes laborales elaboradas</t>
  </si>
  <si>
    <t>Elaborar setecientas veinte (720) acciones de promoción de entornos de trabajo seguros y prevención de enfermedades y accidentes laborales</t>
  </si>
  <si>
    <t>Estudios técnicos, financieros y ambientales elaborados para la construcción de un Nuevo Parque Cementerio Distrital, dentro de las áreas señaladas por el POT</t>
  </si>
  <si>
    <t>Elaborar un (1) estudio de un Nuevo Parque Cementerio Distrital</t>
  </si>
  <si>
    <t>SECRETARÍA GENERAL - APOYO LOGISTICO</t>
  </si>
  <si>
    <t>Acciones preventivas, correctivas, de modernización, restauración, construcción de bóvedas y/o nichos en los cementerios del distrito de Cartagena.</t>
  </si>
  <si>
    <t>Elaborar (4) acciones preventivas, correctivas, de modernización, restauración, construcción de bóvedas y/o nichos en los cementerios del distrito de Cartagena</t>
  </si>
  <si>
    <t>Sistemas tecnológicos de trámite de los servicios de cementerio implementados</t>
  </si>
  <si>
    <t>Implementar un (1) sistema tecnológico para trámites de servicios de cementerio</t>
  </si>
  <si>
    <t>Cementerio Santa Cruz de Manga con intervención para restauración arquitectónica</t>
  </si>
  <si>
    <t>Intervenir para mejoramiento y restauración arquitectónica un (1) Cementerio Santa Cruz de Manga</t>
  </si>
  <si>
    <t xml:space="preserve">Atención Integral a Grupos de Especial Protección
</t>
  </si>
  <si>
    <t>Personas mayores con atención en centros de vida</t>
  </si>
  <si>
    <t>Atender anualmente a cuatro mil ciento noventa y cuatro (4.194) personas mayores en los centros de vida</t>
  </si>
  <si>
    <t>Personas mayores que reciben atención en Grupos Organizados</t>
  </si>
  <si>
    <t>Atender anualmente cinco mil seiscientas ochenta y un (5.681) personas mayores en Grupos Organizados</t>
  </si>
  <si>
    <t>Personas mayores en estado de abandono y/o maltrato atendidas</t>
  </si>
  <si>
    <t>Atender ciento cincuenta (150) personas mayores permanentemente en estado de maltrato y/o abandono</t>
  </si>
  <si>
    <t>Centros de vida construidos y dotados</t>
  </si>
  <si>
    <t>Construir y dotar cuatro (4) centros de vida del Distrito</t>
  </si>
  <si>
    <t>Hogar geriátrico construido y dotado</t>
  </si>
  <si>
    <t>Construir y dotar un (1) hogar geriátrico para personas mayores en el Distrito</t>
  </si>
  <si>
    <t>Centros de vida para el adulto mayor adecuados</t>
  </si>
  <si>
    <t>Adecuar diez (10) Centros de Vida para el adulto mayor</t>
  </si>
  <si>
    <t xml:space="preserve">Ruta de atención a los adultos mayores maltratados o en estado de abandono actualizada y socializada
</t>
  </si>
  <si>
    <t xml:space="preserve">Actualizar y socializar una (1) ruta de atención a los adultos mayores maltratados o en estado de abandono
</t>
  </si>
  <si>
    <t>Programa Integral de Educación, Atención y Seguimiento para la Población Longeva y sus Cuidadores creado e implementado</t>
  </si>
  <si>
    <t>Crear e implementar un (1) Programa Integral de Educación, Atención y Seguimiento para la Población Longeva y sus Cuidadores</t>
  </si>
  <si>
    <t>Número de personas con discapacidad y sus cuidadoras atendidas con programas de la oferta institucional de la Secretaría de Participación y Desarrollo Social</t>
  </si>
  <si>
    <t>Atender a tres mil cuatrocientas cincuenta y dos (3.452) personas con discapacidad y sus cuidadoras con programas de la oferta institucional de la Secretaría de Participación y Desarrollo Social</t>
  </si>
  <si>
    <t>Espacios lúdicos inclusivos para NNA implementados en el Distrito</t>
  </si>
  <si>
    <t xml:space="preserve">Implementar cuatro (4) espacios lúdicos inclusivos para niños, niñas y adolescentes con discapacidad en el Distrito
</t>
  </si>
  <si>
    <t>Número de unidades productivas de personas con discapacidad y/o sus cuidadoras creadas y acompañadas</t>
  </si>
  <si>
    <t>Crear y/o acompañar doscientas (200) unidades productivas de personas con discapacidad y/o sus cuidadoras</t>
  </si>
  <si>
    <t>Caracterizaciones de la vocación productiva de personas con discapacidad y sus cuidadoras elaboradas</t>
  </si>
  <si>
    <t>Elaborar cuatro (4) caracterizaciones de la vocación productiva de personas con discapacidad y sus cuidadoras</t>
  </si>
  <si>
    <t>Empresas o emprendimientos de personas con discapacidad vinculados a eventos de interés del Distrito</t>
  </si>
  <si>
    <t>Vincular veinte (20) empresas o emprendimientos de personas con discapacidad a eventos de interés del Distrito</t>
  </si>
  <si>
    <t>Caracterizaciones anuales de ciudadanos habitantes de calle desarrolladas</t>
  </si>
  <si>
    <t>Desarrollar una (1) caracterización anual de ciudadanos habitantes de calle</t>
  </si>
  <si>
    <t>Jornadas de atención humanitaria de ciudadanos habitantes de calle implementadas</t>
  </si>
  <si>
    <t>Implementar cuarenta (40) jornadas de atención humanitaria a ciudadanos habitantes de calle</t>
  </si>
  <si>
    <t>Ciudadanos habitantes de calle atendidos en hogares de paso</t>
  </si>
  <si>
    <t>Atender anualmente ochenta (80) ciudadanos habitantes de calle en hogares de paso</t>
  </si>
  <si>
    <t>Ciudadanos habitantes de calle vinculados en procesos de rehabilitación y/o resocialización</t>
  </si>
  <si>
    <t>Vincular a ochenta (80) ciudadanos habitantes de calle en procesos de rehabilitación y/o resocialización</t>
  </si>
  <si>
    <t>Centro Intégrate mejorado técnica y tecnológicamente</t>
  </si>
  <si>
    <t>Mejorar técnica y tecnológicamente un (1) Centro Intégrate</t>
  </si>
  <si>
    <t>Número de jornadas extramurales de atención integral a la población migrante desarrolladas</t>
  </si>
  <si>
    <t>Desarrollar dos (2) jornadas extramurales anuales de atención integral a la población migrante</t>
  </si>
  <si>
    <t>Número de personas migrantes, retornados y de acogida, beneficiadas con asistencia técnica y acompañamiento productivo y empresarial desde la ruta de inclusión productiva</t>
  </si>
  <si>
    <t>Beneficiar a tres mil quinientas treinta y cuatro (3.534) personas migrantes, retornados y de acogida, con asistencia técnica y acompañamiento productivo y empresarial desde la ruta de inclusión productiva</t>
  </si>
  <si>
    <t>Número de personas migrantes, retornados y de acogida vinculadas laboralmente desde la ruta de inclusión productiva</t>
  </si>
  <si>
    <t>Vincular laboralmente a cincuenta y cinco (55) nuevos migrantes, retornados y de acogida desde la ruta de inclusión productiva</t>
  </si>
  <si>
    <t>Número de campañas de gestión del riesgo en temas de salud sexual y reproductiva a migrantes desarrolladas</t>
  </si>
  <si>
    <t>Desarrollar dos (2) campañas de gestión del riesgo en temas de salud reproductiva a migrantes</t>
  </si>
  <si>
    <t>Número de migrantes, retornados y de acogida vinculados al programa de atención al migrante</t>
  </si>
  <si>
    <t>Vincular a diez mil seiscientos (10.600) migrantes, retornados y de acogida al programa de atención al migrante</t>
  </si>
  <si>
    <t>Número de personas LGBTIQ+ asistidas para acceder a programas de formación para el trabajo y de educación técnica y tecnológica</t>
  </si>
  <si>
    <t>Asistir a quinientas (500) personas LGBTIQ+ para acceder a programas de formación para el trabajo y de educación técnica y tecnológica</t>
  </si>
  <si>
    <t>Numero de emprendimientos, negocios y/o proyectos productivos liderados por personas con orientaciones sexuales e identidades de género diversas financiados</t>
  </si>
  <si>
    <t>Financiar doscientos (200) emprendimientos, negocios y/o proyectos productivos liderados por personas con orientaciones sexuales e identidades de género diversas.</t>
  </si>
  <si>
    <t>Número de rutas de atención integral de violencias basadas en orientación sexual e identidad de género creadas</t>
  </si>
  <si>
    <t>Crear una (1) ruta de atención integral de violencias basadas en orientación sexual e identidad de género</t>
  </si>
  <si>
    <t xml:space="preserve">Número de procesos de sensibilización a diferentes comunidades para propiciar la transformación de imaginarios sociales frente a personas con orientaciones sexuales e identidades de género diversas y sectores LGBTIQ+ implementados 
</t>
  </si>
  <si>
    <t>Implementar ocho (8) procesos de sensibilización a diferentes comunidades para propiciar la transformación de imaginarios sociales frente a personas con orientaciones sexuales e identidades de género diversas y sectores LGBTIQ+</t>
  </si>
  <si>
    <t>Número de campañas de promoción y prevención de la salud, salud sexual y reproductiva y salud mental dirigida a personas con orientaciones sexuales e identidades de género diversas y sectores LGBTIQ+ desarrolladas</t>
  </si>
  <si>
    <t>Desarrollar ocho (8) campañas de promoción y prevención de la salud, salud sexual y reproductiva y salud mental dirigida a personas con orientaciones sexuales e identidades de género diversas y sectores LGBTIQ+</t>
  </si>
  <si>
    <t>Alianzas público-populares con organizaciones de cuidado comunitario Creadas</t>
  </si>
  <si>
    <t>Crear cuatro (4) alianzas público-populares con organizaciones de cuidado comunitario (1 al año)</t>
  </si>
  <si>
    <t>Ruta del cuidado con una canasta de servicios en articulación del sector público y privado para cuidadores y agentes del cuidado diseñada e implementada</t>
  </si>
  <si>
    <t>Diseñar e implementar una (1) ruta del cuidado con una canasta de servicios en articulación del sector público y privado para cuidadores y agentes del cuidado e implementar un (1) plan piloto en el barrio Huellas de Alberto Uribe</t>
  </si>
  <si>
    <t>Acciones de transformación cultural para la democratización del cuidado (nuevas masculinidades) creadas</t>
  </si>
  <si>
    <t>Crear cuatro (4) acciones de transformación cultural para la democratización del cuidado (nuevas masculinidades)</t>
  </si>
  <si>
    <t>Sistema Distrital de Cuidado diseñado, estructurado e implementado</t>
  </si>
  <si>
    <t>Diseñar, estructurar e implementar un (1) Sistema Distrital de Cuidado</t>
  </si>
  <si>
    <t xml:space="preserve">Superación de la pobreza extrema y soberanía alimentaria
</t>
  </si>
  <si>
    <t>Número de personas con el derecho a la identificación garantizado</t>
  </si>
  <si>
    <t>Garantizar el derecho a la identificación de dieciséis mil (16.000) persona</t>
  </si>
  <si>
    <t>PLAN DE EMERGENCIA SOCIAL - PES</t>
  </si>
  <si>
    <t>Número de personas con situación militar definidas acompañadas por la estrategia PES</t>
  </si>
  <si>
    <t>Acompañar a dos mil doscientos (2.200) personas en la definición de su situación militar</t>
  </si>
  <si>
    <t>Número de personas en pobreza extrema, víctimas del conflicto armado, migrantes y retornados afiliadas  al Sistema General de Seguridad Social.</t>
  </si>
  <si>
    <t>Coordinar la afiliación para cinco mil (5000) personas en Pobreza Extrema, víctimas del conflicto armado, migrantes y retornados al Sistema General de Seguridad Social</t>
  </si>
  <si>
    <t>Número de personas en pobreza extrema formadas en asuntos de Salud Integral</t>
  </si>
  <si>
    <t>Formar en asuntos de salud integral a doce mil (12.000) personas en condición de pobreza extrema</t>
  </si>
  <si>
    <t>Caracterización de los Consejos Comunitarios y Cabildo para el fortalecimiento de la práctica de medicina ancestral elaborada</t>
  </si>
  <si>
    <t>Elaborar una (1) caracterización de los Consejos Comunitarios y Cabildo para el fortalecimiento de la práctica de medicina ancestral</t>
  </si>
  <si>
    <t>Niños, niñas y adolescentes en pobreza extrema que se encuentra por fuera del sistema educativo vincular</t>
  </si>
  <si>
    <t>Vincular cinco mil quinientos cincuenta y seis (5.556) niños, niñas y adolescentes en pobreza extrema desescolarizados al sistema educativo.</t>
  </si>
  <si>
    <t>Número de jóvenes y adultos en pobreza extrema con acceso  a educación técnica.</t>
  </si>
  <si>
    <t>Vincular catorce mil (14.000) jóvenes y adultos en pobreza extrema en programas de  acceso  a educación técnica.</t>
  </si>
  <si>
    <t>Familias formadas sobre el valor de la educación</t>
  </si>
  <si>
    <t xml:space="preserve">Formar a veinticinco mil familias (25.000) sobre el valor de la educación 
</t>
  </si>
  <si>
    <t>Instituciones Educativas Oficiales del Distrito con programas de retención escolar implementados</t>
  </si>
  <si>
    <t>Implementar programas de retención escolar en cincuenta (50) Instituciones Educativas Oficiales</t>
  </si>
  <si>
    <t>Número de vivienda en sectores en pobreza extrema del Distrito de Cartagena mejoradas.</t>
  </si>
  <si>
    <t>Mejorar cinco mil (5.000) unidades de vivienda en sectores en pobreza extrema del Distrito de Cartagena</t>
  </si>
  <si>
    <t>Número de familias en situación de pobreza extrema dotadas con capital de trabajo y formación empresarial</t>
  </si>
  <si>
    <t>Dotar con capital de trabajo y formación empresarial a ocho mil (8.000) familias en pobreza extrema</t>
  </si>
  <si>
    <t>Centro de Oportunidades para el Empleo del Distrito de Cartagena creado</t>
  </si>
  <si>
    <t>Crear un (1) Centro de Oportunidades para el Empleo en el Distrito de Cartagena</t>
  </si>
  <si>
    <t>Número de emprendimientos y/o unidades productivas apoyadas técnica o financieramente</t>
  </si>
  <si>
    <t>Apoyar técnica y financieramente a tres mil ochocientos (3.800) emprendimientos y/o unidades productivas</t>
  </si>
  <si>
    <t>Organizaciones de economía popular integradas por población de pobreza extrema en economía solidaria impactadas</t>
  </si>
  <si>
    <t>Impactar a ochenta (80) organizaciones de economía popular integradas por población de pobreza extrema en economía solidaria</t>
  </si>
  <si>
    <t>Número de personas en pobreza extrema con vinculación de empleo formal gestionada</t>
  </si>
  <si>
    <t>Gestionar la vinculación de empleo formal para tres mil doscientas (3.200) personas en pobreza extrema (al menos 50% mujeres)</t>
  </si>
  <si>
    <t>Personas en pobreza extrema vinculadas  al sistema financiero.</t>
  </si>
  <si>
    <t>Vincular veinte mil (20.000) Personas en pobreza extrema vinculadas  al sistema financiero.</t>
  </si>
  <si>
    <t>Número de familias en situación de pobreza extrema con acceso a créditos financieros</t>
  </si>
  <si>
    <t>Lograr acceso a crédito financiero para tres mil (3.000) familias en pobreza extrema</t>
  </si>
  <si>
    <t>Miembros de familia en el Distrito de Cartagena sensibilizadas en prevención al consumo de sustancias psicoactivas.</t>
  </si>
  <si>
    <t>Formar mil noventa y dos (1.092) nuevos miembros de familias en el Distrito de Cartagena en prevención al consumo de sustancias psicoactivas</t>
  </si>
  <si>
    <t>Estrategia de prevención de violencia basada en género y violencia intrafamiliar desarrollada.</t>
  </si>
  <si>
    <t>Implementar cuatro (4) estrategias de prevención de violencia basada en género y violencia intrafamiliar para familias en pobreza extrema</t>
  </si>
  <si>
    <t>Talleres lúdicos recreativos para generar códigos de convivencia con organizaciones de base comunitaria coordinados y elaborados.</t>
  </si>
  <si>
    <t>Coordinar y elaborar ciento cincuenta (150) talleres lúdicos recreativos para generar códigos de convivencia con organizaciones de base comunitaria</t>
  </si>
  <si>
    <t>Niños en primera infancia, personas mayores y población con discapacidad atendidos con la estrategia de ollas comunitarias</t>
  </si>
  <si>
    <t>Atender diez mil (10.000) niños en primera infancia, personas mayores y población con discapacidad con la estrategia de ollas comunitarias</t>
  </si>
  <si>
    <t>Numero de Mercados campesinos  realizados</t>
  </si>
  <si>
    <t>Realizar noventa y seis (96) eventos de Mercados campesinos</t>
  </si>
  <si>
    <t>Número de personas atendidas  Estrategia Guerra Frontal contra el Hambre</t>
  </si>
  <si>
    <t>Atender a cincuenta y un mil (51.000) personas con la estrategia Hambre Cero</t>
  </si>
  <si>
    <t>Numero de rutas de atención que permitan la atención oportuna para garantizar derechos y resolver conflictos creados</t>
  </si>
  <si>
    <t>Crear diecisiete (17) rutas de atención que permitan la atención oportuna para garantizar derechos y resolver conflictos</t>
  </si>
  <si>
    <t>Estrategias de comunicación para dar a conocer las rutas del Plan de Emergencia Social implementadas</t>
  </si>
  <si>
    <t>Implementar cuatro (4) estrategias de comunicación para dar a conocer las rutas del Plan de Emergencia Social</t>
  </si>
  <si>
    <t>Jornadas de atención integral a la comunidad "Gobierno al Barrio" desarrolladas.</t>
  </si>
  <si>
    <t>Desarrollar ciento veinte (120) jornadas de atención integral a la comunidad "Gobierno al Barrio".</t>
  </si>
  <si>
    <t>Número de jornadas de diálogos y gobernanzas desarrolladas</t>
  </si>
  <si>
    <t>Desarrollar setenta y dos (72) jornadas de diálogos y gobernanza en el Distrito de Cartagena a través de la estrategia “Encuentros Barriales”</t>
  </si>
  <si>
    <t>Número de puntos de atención habilitados de Renta Ciudadana, Renta Joven y Colombia Mayor</t>
  </si>
  <si>
    <t>Habilitar trece (13) puntos de atención para garantizar la atención de los beneficiarios y la operatividad del programa</t>
  </si>
  <si>
    <t>SECRETARÍA GENERAL - COORDINACIÓN RENTA CIUDADANA</t>
  </si>
  <si>
    <t>Número de jornadas complementarias para la atención y bienestar comunitario desarrolladas</t>
  </si>
  <si>
    <t>Desarrollar cuarenta y ocho (48) jornadas complementarias para la atención y bienestar comunitario</t>
  </si>
  <si>
    <t>Plan Maestro de Infraestructura Educativa formulado e implementado</t>
  </si>
  <si>
    <t>Formular un (1) Plan Maestro de Infraestructura Educativa</t>
  </si>
  <si>
    <t>SECRETARÍA DE EDUCACIÓN - SED</t>
  </si>
  <si>
    <t>Número de predios de IEO legalizados</t>
  </si>
  <si>
    <t>Legalizar sesenta (60) predios de Instituciones Educativas Oficiales</t>
  </si>
  <si>
    <t>Número de nuevas Instituciones Educativas Oficiales construidas</t>
  </si>
  <si>
    <t>Construir cinco (5) nuevas Instituciones Educativas Oficiales</t>
  </si>
  <si>
    <t>Número de sedes educativas reconstruidas y/o con ampliación de la infraestructura</t>
  </si>
  <si>
    <t>Reconstruir y/o ampliar quince (15) sedes educativas</t>
  </si>
  <si>
    <t>Número de sedes educativas mejoradas y/o adecuadas</t>
  </si>
  <si>
    <t>Mejorar y/o adecuar ochenta (80) sedes educativas</t>
  </si>
  <si>
    <t>Número de aulas con dotación de mobiliario escolar y material pedagógico</t>
  </si>
  <si>
    <t>Dotar mil (1.000) aulas con mobiliario escolar, aires acondicionados, abanicos y material pedagógico</t>
  </si>
  <si>
    <t>Número de Instituciones Educativas Oficiales con oferta de educación inicial para la atención a la primera infancia implementada</t>
  </si>
  <si>
    <t>Implementar encuarenta (40) IEO con oferta de educación inicial para la atención de la primera infancia</t>
  </si>
  <si>
    <t>Número de Instituciones Educativas Oficiales asesoradas con estrategias de articulación institucional para asegurar el tránsito armónico de niños y niñas desde los programas de atención a la primera infancia del ICBF al sistema educativo oficial</t>
  </si>
  <si>
    <t>Asesorar a ciento cinco (105) Instituciones Educativas Oficiales con estrategias de articulación institucional para asegurar el tránsito armónico de los niños y niñas desde los programas de atención a la primera infancia del ICBF al sistema educativo oficial</t>
  </si>
  <si>
    <t>Numero de niños, niñas y adolescentes focalizados con estrategias para el acceso al sistema educativo oficial</t>
  </si>
  <si>
    <t>Vincular a dos mil trescientos noventa (2.390) niños, niñas y adolescentes adicionales con estrategias para el acceso al sistema educativo oficial</t>
  </si>
  <si>
    <t>Número de estudiantes de Instituciones Educativas Oficiales atendidos con Programa de Alimentación Escolar como estrategia de permanencia</t>
  </si>
  <si>
    <t>Atender a ciento seis mil cuatrocientos ochenta y siete (106.487) estudiantes anualmente con el Programa de Alimentación Escolar como estrategia de permanencia</t>
  </si>
  <si>
    <t>Número de estudiantes de Instituciones Educativas Oficiales atendidos con transporte escolar</t>
  </si>
  <si>
    <t>Atender a cinco mil quinientos (5.500) estudiantes anualmente con transporte escolar</t>
  </si>
  <si>
    <t>Número de estudiantes de Instituciones Educativas Oficiales atendidos con otras estrategias de permanencia (kits escolares, uniformes, y jornadas escolares complementarias)</t>
  </si>
  <si>
    <t>Atender a diez mil (10.000) estudiantes anualmente con otras estrategias de permanencia</t>
  </si>
  <si>
    <t>Planes Institucionales de Permanencia Escolar – PIPE, formulados e implementados en Instituciones Educativas Oficiales</t>
  </si>
  <si>
    <t>Formular e implementar Planes Institucionales de Permanencia Escolar - PIPE en cuarenta y cinco (45) Instituciones Educativas Oficiales</t>
  </si>
  <si>
    <t>Número de Instituciones Educativas Oficiales vinculadas a estrategias para el fortalecimiento de la oferta de educación inclusiva para preescolar, básica y media</t>
  </si>
  <si>
    <t>Vincular a setenta y dos (72) Instituciones Educativas Oficiales a estrategias para el fortalecimiento de la oferta de educación inclusiva para preescolar, básica y media</t>
  </si>
  <si>
    <t>Número de aulas hospitalarias para la atención de niños, niñas, adolescentes y jóvenes en condición de enfermedad habilitadas</t>
  </si>
  <si>
    <t>Habilitar cuatro (4) Aulas Hospitalarias para la atención de niños, niñas, adolescentes y jóvenes en condición de enfermedad</t>
  </si>
  <si>
    <t>Número de Instituciones Educativas Oficiales con modelos educativos flexibles implementados</t>
  </si>
  <si>
    <t>Implementar veintisiete (27) Instituciones Educativas Oficiales con modelos educativos flexibles</t>
  </si>
  <si>
    <t>Número de niños, niñas, adolescentes y jóvenes en extraedad, que se encuentran dentro de la oferta regular, atendidos con modelos educativos flexibles en el sistema educativo oficial</t>
  </si>
  <si>
    <t>Atender con modelos educativos flexibles a cuatro mil (4.000) niños, niñas, adolescentes y jóvenes en extraedad, que se encuentran dentro de la oferta regular del sistema educativo oficial</t>
  </si>
  <si>
    <t>Número de niños, niñas, adolescentes y jóvenes en extraedad, que se encuentran por fuera del sistema educativo oficial, atendidos con modelos educativos flexibles</t>
  </si>
  <si>
    <t>Atender con modelos educativos flexibles a tres mil seiscientos noventa (3.690) niños, niñas, adolescentes y jóvenes en extraedad, que se encuentran por fuera del sistema educativo oficial</t>
  </si>
  <si>
    <t>Número de personas atendidas con modelos de alfabetización</t>
  </si>
  <si>
    <t>Atender a ocho mil cuatrocientas (8.400) personas con modelos de alfabetización</t>
  </si>
  <si>
    <t>Número de Instituciones Educativas Oficiales con estudiantes con capacidades excepcionales vinculados a Escuela de Talentos</t>
  </si>
  <si>
    <t>Vincular estudiantes con capacidades excepcionales a la Escuela de Talentos en cincuenta (50) Instituciones Educativas Oficiales</t>
  </si>
  <si>
    <t>Número de Instituciones Educativas Oficiales con proyectos pedagógicos transversales de cultura, deporte, recreación, actividad física y artes implementados</t>
  </si>
  <si>
    <t>Implementar proyectos pedagógicos transversales de cultura, deporte, recreación, actividad física y artes en cincuenta y nueve (59) Instituciones Educativas Oficiales</t>
  </si>
  <si>
    <t>Número de Instituciones Educativas Oficiales con proyectos pedagógicos transversales de educación ambiental, emprendimiento y otros implementados</t>
  </si>
  <si>
    <t>Implementar proyectos pedagógicos transversales de educación ambiental, emprendimiento y otros en cincuenta y nueve (59) Instituciones Educativas Oficiales</t>
  </si>
  <si>
    <t>Numero de Instituciones Educativas Oficiales asistidas en su sistema escolar de convivencia, habilidades para la vida y la paz y gobierno escolar</t>
  </si>
  <si>
    <t>Asistir a ciento siete (107) Instituciones Educativas Oficiales en su sistema escolar de convivencia, habilidades para la vida y la paz y gobierno escolar</t>
  </si>
  <si>
    <t>Número de Instituciones Educativas Oficiales que implementan el Acuerdo Distrital No. 113 de 2022</t>
  </si>
  <si>
    <t>Implementar el Acuerdo Distrital No. 113 de 2022 en ciento siete (107) Instituciones Educativas Oficiales, de formación en derechos humanos de las mujeres y prevención de las violencias de género, dirigido a niñas, niños y jóvenes</t>
  </si>
  <si>
    <t>Numero de Instituciones Educativas Oficiales asistidas técnicamente en el proceso de tránsito de Proyecto Educativo Institucional – PEI a Proyecto Educativo Comunitario - PEC o Proyecto Educativo Intercultural acorde con la pertinencia con respecto a la caracterización y perfil educativo del territorio</t>
  </si>
  <si>
    <t>Asitir tecnicamente a trece (13) Instituciones Educativas Oficiales en el proceso de tránsito de Proyecto Educativo Institucional – PEI a Proyecto Educativo Comunitario - PEC o Proyecto Educativo Intercultural</t>
  </si>
  <si>
    <t>Número de Instituciones Educativas Oficiales con Cátedra de Estudios Afrocolombianos (CEA) implementada</t>
  </si>
  <si>
    <t>Implementar la Cátedra de Estudios Afrocolombianos (CEA) en seis (6) Instituciones Educativas Oficiales adicionales</t>
  </si>
  <si>
    <t>Número de Instituciones Educativas Oficiales acompañadas en el fortalecimiento de la enseñanza de lenguas extranjeras, especialmente las focalizadas en los Colegios Amigos del Turismo</t>
  </si>
  <si>
    <t>Acompañar a cincuenta y cinco (55) Instituciones Educativas Oficiales en el fortalecimiento de la enseñanza de lenguas extranjeras, especialmente las focalizadas en los Colegios Amigos del Turismo</t>
  </si>
  <si>
    <t>Número de docentes formados en una segunda lengua</t>
  </si>
  <si>
    <t>Formar a seiscientos (600) docentes en una segunda lengua</t>
  </si>
  <si>
    <t>Número de docentes formados en evaluación por competencias en las áreas que evalúa el ICFES</t>
  </si>
  <si>
    <t>Formar a seiscientos (600) docentes en evaluación por competencias en las áreas que evalúa el ICFES</t>
  </si>
  <si>
    <t>Número de estudiantes de grado 9, 10 y 11 formados para las Pruebas Saber</t>
  </si>
  <si>
    <t>Desarrollar setenta y ocho mil doscientos (78.200) formaciones a estudiantes de grado 9, 10 y 11 de las 107 Instituciones Educativas Oficiales en procesos de preparación para las Pruebas Saber</t>
  </si>
  <si>
    <t>Número de Instituciones Educativas Oficiales asesoradas en el análisis y uso de resultados de Pruebas Saber</t>
  </si>
  <si>
    <t>Asesorar técnicamente a sesenta y dos (62) nuevas Instituciones Educativas Oficiales en el análisis y uso de resultados de Pruebas Saber</t>
  </si>
  <si>
    <t>Número de Instituciones Educativas Oficiales con Plan Institucional de Lectura, Escritura y Oralidad (PILEO) implementado</t>
  </si>
  <si>
    <t>Implementar el Plan Institucional de Lectura, Escritura y Oralidad en ochenta y siete (87) Instituciones Educativas Oficiales</t>
  </si>
  <si>
    <t>Número de Instituciones Educativas Oficiales dotadas con material bibliográfico</t>
  </si>
  <si>
    <t>Dotar las bibliotecas escolares de ochenta y seis (86) Instituciones Educativas Oficiales con material bibliográfico</t>
  </si>
  <si>
    <t>Red de Bibliotecas Escolares integrada al sistema de bibliotecas públicas creada</t>
  </si>
  <si>
    <t>Crear una (1) Red de Bibliotecas Escolares integrada al sistema de bibliotecas públicas</t>
  </si>
  <si>
    <t>Ferias Distritales de Radio Escolar desarrolladas</t>
  </si>
  <si>
    <t>Desarrollar cuatro (4) Ferias Distritales de Radio Escolar</t>
  </si>
  <si>
    <t>Número de Instituciones Educativas Oficiales dotadas con materiales y equipos radiofónicos</t>
  </si>
  <si>
    <t>Dotar con material y equipo radiofónico a treinta (30) Instituciones Educativas Oficiales adicionales para la implementación de la radio escolar</t>
  </si>
  <si>
    <t>Número de Instituciones Educativas Oficiales que mejoran en resultados de pruebas - EGRA (Early Grade Reading Assessment)</t>
  </si>
  <si>
    <t>Mejorar en quince (15) Instituciones Educativas las destrezas básicas de alfabetismo en básica primaria medidos a través de EGRA</t>
  </si>
  <si>
    <t>Número de Instituciones Educativas Oficiales que mejoran en resultados de pruebas - EGMA (Early Grades Mathematics Assessment)</t>
  </si>
  <si>
    <t>Mejorar en quince (15) Instituciones Educativas las habilidades en matemáticas de las pruebas EGMA</t>
  </si>
  <si>
    <t>Número de docentes de Instituciones Educativas Oficiales formados en su saber disciplinar, pedagógico y reflexivo</t>
  </si>
  <si>
    <t>Formar a dos mil (2.000) docentes de Instituciones Educativas Oficiales en su saber disciplinar, pedagógico y reflexivo</t>
  </si>
  <si>
    <t>Número de directivos docentes formados en liderazgo</t>
  </si>
  <si>
    <t>Formar a ciento siete (107) rectores de Instituciones Educativas Oficiales en liderazgo y gestión educativa</t>
  </si>
  <si>
    <t>Número de foros educativos distritales anuales elaborados</t>
  </si>
  <si>
    <t>Elaborar cuatro (4) foros educativos en el cuatrienio</t>
  </si>
  <si>
    <t>Numero de Instituciones Educativas Oficiales, con asistencia tecnica en el proceso de actualización de sus modelos pedagógicos y curriculares</t>
  </si>
  <si>
    <t>Asistir tecnicamente a ciento siete (107) Instituciones Educativas Oficiales en el proceso de actualización de sus modelos pedagógicos y curriculares</t>
  </si>
  <si>
    <t>Sistema propio de información de la Gestión Escolar diseñado</t>
  </si>
  <si>
    <t>Crear un (1) sistema de información de la Gestión Escolar</t>
  </si>
  <si>
    <t>Referentes técnicos de educación inicial y preescolar incorporados en PEI de instituciones educativas que ofertan los grados prejardín, jardín y transición</t>
  </si>
  <si>
    <t>Incorporar los referentes técnicos de educación inicial y preescolar en los PEI de cuarenta (40) instituciones educativas que ofertan los grados prejardín, jardín y transición</t>
  </si>
  <si>
    <t>Número de estudiantes egresados de Instituciones Educativas Oficiales y con matrícula contratada becados en educación superior</t>
  </si>
  <si>
    <t>Becar en educación superior a nueve mil (9.000) estudiantes egresados de Instituciones Educativas Oficiales y con matrícula contratada</t>
  </si>
  <si>
    <t>Número de estudiantes egresados de Instituciones Educativas Oficiales y con matrícula contratada becados con becas inclusivas en educación superior (víctimas, NARP, con discapacidad, indígenas)</t>
  </si>
  <si>
    <t>Becar en educación superior a quinientas cuarenta y cuatro (544) estudiantes egresados de Instituciones Educativas Oficiales y con matrícula contratada, con becas inclusivas</t>
  </si>
  <si>
    <t>Número de estudiantes de media técnica graduados con doble titulación</t>
  </si>
  <si>
    <t>Graduar doce mil (12.000) estudiantes de media técnica con doble titulación</t>
  </si>
  <si>
    <t>Número de Instituciones Educativas Oficiales con media técnica y académicas con doble titulación implementada</t>
  </si>
  <si>
    <t>Implementar doble titulación en veinticinco (25) Instituciones Educativas Oficiales con media técnica e Instituciones Educativas Oficiales académicas</t>
  </si>
  <si>
    <t>Numero de Instituciones Educativas Oficiales con nodos de media técnica asistidas con programas pilotos de bilingüismo</t>
  </si>
  <si>
    <t>Asistir con programas piloto de bilingüismo a cinco (5)
Instituciones Educativas Oficiales con nodos de media técnica</t>
  </si>
  <si>
    <t>Número de estudiantes con formación técnica para el trabajo y el desarrollo humano</t>
  </si>
  <si>
    <t>Formar a quinientos (500) estudiantes en educación técnica para el trabajo y el desarrollo humano</t>
  </si>
  <si>
    <t>Número de voluntarios universitarios que acompañan a los estudiantes de las Instituciones Educativas Oficiales en el fortalecimiento de sus competencias</t>
  </si>
  <si>
    <t>Vincular a doscientos (200) voluntarios universitarios para acompañamiento a los estudiantes de las Instituciones Educativas Oficiales en el fortalecimiento de sus competencias</t>
  </si>
  <si>
    <t>PROGRAMA: AVANZAMOS EN EL FORTALECIMIENTO INSTITUCIONAL DE LA SECRETARÍA DE EDUCACIÓN</t>
  </si>
  <si>
    <t>Numero de políticas armonizadas del Modelo Integrado de Planeación y Gestión – MIPG en la SED</t>
  </si>
  <si>
    <t>Armonizar las diecinueve (19) políticas del Modelo Integrado de Planeación y Gestión - MIPG en la Secretaría de Educación</t>
  </si>
  <si>
    <t>Sistema de seguimiento y aseguramiento de la calidad del servicio educativo a través del ejercicio de la inspección y vigilancia, diseñado e implementado</t>
  </si>
  <si>
    <t>Diseñar e implementar un (1) sistema de seguimiento y aseguramiento a la calidad del servicio educativo a través del ejercicio de la inspección, vigilancia y control</t>
  </si>
  <si>
    <t>Plan de Bienestar y Protección para los funcionarios del sector educativo de Cartagena implementado</t>
  </si>
  <si>
    <t>Implementar un (1) Plan de Bienestar y Protección otorgados a los Funcionarios del Sector Educativo de Cartagena</t>
  </si>
  <si>
    <t>Reorganización administrativa y de procesos de la Secretaría de Educación diseñada, aprobada e implementada</t>
  </si>
  <si>
    <t>Diseñar, aprobar e implementar una (1) nueva estructura administrativa y de procesos de la Secretaría de Educación</t>
  </si>
  <si>
    <t>Número de sedes educativas con conectividad escolar implementada</t>
  </si>
  <si>
    <t>Implementar conectividad escolar en ciento cincuenta (150) sedes educativas del Distrito</t>
  </si>
  <si>
    <t>Número de aulas RTCi para el desarrollo de competencias digitales en las Instituciones Educativas Oficiales habilitadas</t>
  </si>
  <si>
    <t>Habilitar ocho (8) aulas RTCi para el desarrollo de competencias digitales en las Instituciones Educativas Oficiales</t>
  </si>
  <si>
    <t>Número de Instituciones Educativas Oficiales asistidas en las prácticas de ciencia, innovación y tecnología</t>
  </si>
  <si>
    <t>Asistir a ochenta y cinco (85) Instituciones Educativas Oficiales en las prácticas de ciencia, innovación y tecnología</t>
  </si>
  <si>
    <t>Estrategias de internacionalización implementadas</t>
  </si>
  <si>
    <t>Implementar veinte (20) estrategias que permitan la internacionalización de los programas institucionales</t>
  </si>
  <si>
    <t>Institución Universitaria Mayor de Cartagena.  (Calidad Académica)</t>
  </si>
  <si>
    <t>Plataforma virtual integral institucional implementada</t>
  </si>
  <si>
    <t>Implementar una (1) Plataforma Virtual integral institucional</t>
  </si>
  <si>
    <t>Metros cuadrados de infraestructura física institucional de la U. Mayor construidos</t>
  </si>
  <si>
    <t>Construir mil quinientos veintiséis (1.526) metros cuadrados de infraestructura física actual de la U. Mayor</t>
  </si>
  <si>
    <t>Espacios académicos y/o administrativos acondicionados y dotados</t>
  </si>
  <si>
    <t>Acondicionar y dotar cinco (5) nuevos espacios académicos y/o administrativos</t>
  </si>
  <si>
    <t>Programas de pregrado nuevos de la U. Mayor creados</t>
  </si>
  <si>
    <t>Crear seis (6) programas de pregrado nuevos</t>
  </si>
  <si>
    <t>Programas de posgrado nuevo ofertados</t>
  </si>
  <si>
    <t>Ofertar dos (2) nuevos programas de posgrado</t>
  </si>
  <si>
    <t>Número de estudiantes nuevos matriculados en la U. Mayor</t>
  </si>
  <si>
    <t>Matricular dos mil doscientos treinta y cuatro (2234) estudiantes nuevos</t>
  </si>
  <si>
    <t>Número de jóvenes formados como técnicos laborales en oficios tradicionales</t>
  </si>
  <si>
    <t>Formar a mil seiscientos (1.600) jóvenes en procesos de formación técnica en oficios tradicionales</t>
  </si>
  <si>
    <t>Escuela Taller Cartagena de Indias (ETCAR)</t>
  </si>
  <si>
    <t>Número de jóvenes vinculados en procesos de formación complementaria en oficios tradicionales</t>
  </si>
  <si>
    <t>Vincular a cuatrocientos (400) jóvenes en procesos de formación complementaria en oficios tradicionales</t>
  </si>
  <si>
    <t>Número de mujeres formadas en oficios técnicos y complementarios</t>
  </si>
  <si>
    <t>Formar a doscientos cuarenta (240) mujeres en los programas de formación en oficios técnicos y complementarios</t>
  </si>
  <si>
    <t>Número de egresados vinculados laboralmente a la Escuela Taller</t>
  </si>
  <si>
    <t>Vincular a doscientos (200) egresados de la Escuela Taller en oficios tradicionales</t>
  </si>
  <si>
    <t>Número de ambientes de aprendizaje mejorados</t>
  </si>
  <si>
    <t>Mejorar la infraestructura de nueve (9) ambientes de aprendizaje</t>
  </si>
  <si>
    <t>Número de usuarios conectados a la red de servicio de acueducto del Distrito</t>
  </si>
  <si>
    <t>Llevar trescientos diecisiete mil cuatrocientos ochenta y tres (317.483) el numero de usuarios conectados a la red de servicio de acueducto</t>
  </si>
  <si>
    <t>SECRETARÍA GENERAL - SECRETARÍA DE INFRAESTRUCTURA</t>
  </si>
  <si>
    <t>Kilómetros de refuerzo de conducción e impulsión de acueducto en el Distrito construidos</t>
  </si>
  <si>
    <t>Construir nueve (9) kilómetros de refuerzo de conducción y/o impulsión de acueducto</t>
  </si>
  <si>
    <t>Número de obras ejecutadas para la mejora de distribución de agua potable en el Distrito</t>
  </si>
  <si>
    <t>Ejecutar seis (6) obras para la mejora de distribución de agua potable</t>
  </si>
  <si>
    <t>Metros cúbicos de agua potable suministrados como soluciones alternativas o transitorias de acceso al agua potable en el Distrito de Cartagena</t>
  </si>
  <si>
    <t>Suministrar cuatrocientos cuarenta y ocho mil ochocientos (448.800) metros cúbicos de agua potable mediante soluciones alternativas o transitorias</t>
  </si>
  <si>
    <t>Número de usuarios conectados a la red de servicio de alcantarillado del Distrito</t>
  </si>
  <si>
    <t>Llevar a doscientos noventa y cinco mil quinientos veintinueve (295.529) el número de usuarios conectados a la red de servicio de alcantarillado</t>
  </si>
  <si>
    <t>Metros lineales de colectores de alcantarillado sanitario construidos en el Distrito</t>
  </si>
  <si>
    <t>Construir quinientos noventa y dos (592) metros lineales de colectores de alcantarillado sanitario</t>
  </si>
  <si>
    <t>Número de hectáreas de áreas de importancia estratégica con acciones de conservación y/o protección</t>
  </si>
  <si>
    <t>Proteger cuarenta y cinco (45) hectáreas de áreas de importancia estratégica con acciones de conservación y/o protección</t>
  </si>
  <si>
    <t>Número de servicios de apoyo financiero (subsidios) para usuarios de los servicios públicos domiciliarios de acueducto, alcantarillado y aseo estratos 1,2 y 3 del Distrito entregados</t>
  </si>
  <si>
    <t xml:space="preserve">Entregar servicios de apoyo financiero (subsidios) de los servicios públicos domiciliarios a doscientos cuarenta y seis mil ciento cincuenta y dos (246.152) usuarios de acueducto de estrato 1, 2 y 3, a ciento setenta y un mil trescientos siete (171.307) usuarios de alcantarillado de estrato 1, 2 y 3, y a doscientos ochenta y un mil ochocientos veintitres (281.823) usuarios de servicio de aseo de estratos 1, 2 </t>
  </si>
  <si>
    <t>SECRETARÍA GENERAL</t>
  </si>
  <si>
    <t>Número de lámparas o luminarias de alumbrado público en funcionamiento</t>
  </si>
  <si>
    <t>Instalar y poner en funcionamiento siete mil (7.000) lámparas o luminarias de alumbrado público</t>
  </si>
  <si>
    <t>Número de lámparas o luminarias con energías renovables instaladas</t>
  </si>
  <si>
    <t>Instalar ochocientas (800) lámparas o luminarias con energía renovable</t>
  </si>
  <si>
    <t>Número de iniciativas de generación de energía a partir de fuentes no convencionales implementadas</t>
  </si>
  <si>
    <t>Implementar tres (5) iniciativas de generación de energía a partir de fuentes no convencionales</t>
  </si>
  <si>
    <t>Número de barrios con monitoreo de información en la prestación del servicio del alumbrado público implementado</t>
  </si>
  <si>
    <t>Implementar en seis (6) barrios el monitoreo de información en la prestación del servicio de alumbrado público</t>
  </si>
  <si>
    <t>PGIRS del Distrito actualizado</t>
  </si>
  <si>
    <t>Actualizar un (1) Plan de Gestión Integral de Residuos Sólidos</t>
  </si>
  <si>
    <t>Número de convocatorias promovidas para la asignación de incentivo al Aprovechamiento y Tratamiento de Residuos Sólidos (IAT) en el Distrito</t>
  </si>
  <si>
    <t>Promover cuatro (4) convocatorias para la asignación de incentivo al Aprovechamiento y Tratamiento de Residuos Sólidos (IAT) en el Distrito</t>
  </si>
  <si>
    <t>Censo de recicladores del Distrito actualizado</t>
  </si>
  <si>
    <t>Actualizar un (1) censo de recicladores del Distrito</t>
  </si>
  <si>
    <t>Número de proyectos formulados para la implementación de planta de tratamiento de residuos del Distrito</t>
  </si>
  <si>
    <t>Formular un (1) proyecto para la implementación de planta de tratamiento de residuos del Distrito</t>
  </si>
  <si>
    <t>Número de proyecto formulado e implementado para la gestión de residuos en el área rural/ insular del Distrito</t>
  </si>
  <si>
    <t>Formular e implementar un (1) proyecto para la gestión de residuos en el área rural/insular del Distrito</t>
  </si>
  <si>
    <t>Número de puntos de acopio implementados para la disposición de residuos en la zona insular del Distrito</t>
  </si>
  <si>
    <t>Implementar cuatro (4) puntos de acopio para la disposición de residuos en la zona insular del Distrito</t>
  </si>
  <si>
    <t>Documentos de lineamientos técnicos elaborados para la gestión de los residuos de aparatos eléctricos y electrónicos (RAEE) en el área rural/ insular del Distrito</t>
  </si>
  <si>
    <t>Elaborar un (1) lineamiento técnico para la gestión de los residuos de aparatos eléctricos y electrónicos (RAEE) en el área rural/insular del Distrit</t>
  </si>
  <si>
    <t>Número de puntos críticos recuperados en el Distrito</t>
  </si>
  <si>
    <t>Recuperar veinticuatro (24) puntos críticos en el Distrito</t>
  </si>
  <si>
    <t>Número de personas formadas en aprovechamiento de residuos</t>
  </si>
  <si>
    <t>Formar cien mil (100.000) personas en aprovechamiento de residuos en el Distrito</t>
  </si>
  <si>
    <t>Número de programas de formación para recicladores de oficio implementados</t>
  </si>
  <si>
    <t>Implementar un (1) programa de formación para recicladores de oficio</t>
  </si>
  <si>
    <t>Número de campañas de fomento a la formalización de recicladores desarrolladas</t>
  </si>
  <si>
    <t>Desarrollar dos (2) campañas de fomento a la formalización de recicladores</t>
  </si>
  <si>
    <t>Rutas selectivas de reciclaje georreferenciadas</t>
  </si>
  <si>
    <t>Georreferenciar la totalidad de las rutas selectivas de reciclaje</t>
  </si>
  <si>
    <t>Hogares beneficiados con servicio de apoyo financiero para adquisición de vivienda</t>
  </si>
  <si>
    <t>Beneficiar a diez mil (10.000) hogares con subsidios familiares de adquisición de vivienda de interés social</t>
  </si>
  <si>
    <t>CORVIVIENDA</t>
  </si>
  <si>
    <t>Hogares beneficiados con mejoramiento de vivienda urbana</t>
  </si>
  <si>
    <t>Beneficiar a doce mil setecientos cincuenta (12.750) hogares con subsidios familiares para mejoramiento de vivienda urbana</t>
  </si>
  <si>
    <t>Número de predios legalizados o titulados</t>
  </si>
  <si>
    <t>Titular o legalizar cinco mil (5.000) predios</t>
  </si>
  <si>
    <t>Número de Documentos de planeación - DTS para la legalización urbanística elaborados</t>
  </si>
  <si>
    <t>Elaborar cinco (5) Documentos Técnicos de Soporte para la solicitud de legalización de 100 hectáreas en los asentamientos humanos priorizados del Distrito</t>
  </si>
  <si>
    <t>Número de documentos normativos para legalización de asentamientos humanos adoptados</t>
  </si>
  <si>
    <t>Adoptar seis (6) documentos normativos para la legalización de 122 hectáreas en asentamientos humanos</t>
  </si>
  <si>
    <t>SECRETARÍA DE PLANEACIÓN</t>
  </si>
  <si>
    <t>Número de sistemas de información de vivienda actualizados</t>
  </si>
  <si>
    <t>Actualizar un (1) sistema de información de vivienda</t>
  </si>
  <si>
    <t>Número de personas con acceso efectivo a procesos de lenguaje, lectura, escritura y oralidad. </t>
  </si>
  <si>
    <t>Vincular a trescientas seis mil cincuenta y nueve (306.059) personas de manera efectiva a los procesos de lenguaje, lectura, escritura y oralidad</t>
  </si>
  <si>
    <t>IPCC</t>
  </si>
  <si>
    <t>Número de bibliotecas dotadas y en funcionamiento</t>
  </si>
  <si>
    <t>Dotar de mobiliario y equipo y mantener en funcionamiento dieciocho (18) bibliotecas</t>
  </si>
  <si>
    <t>Número de actividades de extensión bibliotecaria implementadas</t>
  </si>
  <si>
    <t>Implementar mil ochocientas (1.800) actividades de extensión bibliotecaria</t>
  </si>
  <si>
    <t>Plan de Fortalecimiento para la Consolidación de la Red de Bibliotecas Distritales</t>
  </si>
  <si>
    <t>Formular e implementar un (1) Plan de Fortalecimiento para la Consolidación de la Red de Bibliotecas Distritales</t>
  </si>
  <si>
    <t>Plan de Fortalecimiento para la Red de Museos Distrital diseñado e implementado</t>
  </si>
  <si>
    <t>Diseñar e implementar un (1) Plan de Fortalecimiento para la Red de Museos Distrital</t>
  </si>
  <si>
    <t>Número de infraestructuras culturales mejoradas, adecuadas y/o dotadas</t>
  </si>
  <si>
    <t>Mejorar, adecuar y/o dotar treinta y cuatro (34) infraestructuras culturales accesibles, inclusivas y diversas</t>
  </si>
  <si>
    <t>Número de infraestructuras culturales construidas y dotadas</t>
  </si>
  <si>
    <t>Construir y dotar dos (2) infraestructuras culturales accesibles, inclusivas y diversas</t>
  </si>
  <si>
    <t>Número de estrategias de aprovechamiento en espacios culturales implementadas</t>
  </si>
  <si>
    <t>Implementar estrategias de aprovechamiento en treinta y tres (34) espacios culturales (creación, divulgación, producción y difusión)</t>
  </si>
  <si>
    <t>Número de estímulos otorgados o proyectos apoyados. </t>
  </si>
  <si>
    <t>Otorgar mil (1.000) estímulos culturales y artísticos</t>
  </si>
  <si>
    <t>Número de estímulos otorgados con enfoque diferencial e interseccional. </t>
  </si>
  <si>
    <t>Otorgar cien (100) estímulos con enfoque diferencial e intersecciona</t>
  </si>
  <si>
    <t>Número de mercados o espacios de circulación para emprendimientos culturales y artísticos. </t>
  </si>
  <si>
    <t>Crear seis (6) mercados o espacios de circulación para emprendimientos culturales y artísticos</t>
  </si>
  <si>
    <t>Número de emprendimientos y/o micronegocios de economía popular del sector cultura, arte y patrimonio apoyados financieramente </t>
  </si>
  <si>
    <t>Otorgar ciento cincuenta (150) apoyos financieros para micronegocios de economía popular del sector cultura, arte y patrimonio</t>
  </si>
  <si>
    <t>Número de personas beneficiarias del programa de formación artística y cultural.</t>
  </si>
  <si>
    <t>Vincular a mil ochocientas (1.800) personas en el programa de Formación Artística y Cultural</t>
  </si>
  <si>
    <t>Sistema Distrital de Formación Artística y Cultural creado e implementado</t>
  </si>
  <si>
    <t>Crear e implementar un (1) Sistema Distrital de Formación Artística y Cultural</t>
  </si>
  <si>
    <t>Estrategia de modernización y mejoramiento del desempeño institucional del Instituto de Patrimonio y Cultura diseñada e implementada</t>
  </si>
  <si>
    <t>Diseñar e implementar una (1) estrategia de modernización y mejoramiento del desempeño institucional del Instituto de Patrimonio y Cultura</t>
  </si>
  <si>
    <t>Plan de fortalecimiento para el Sistema Distrital de Cultura y consejos de áreas artísticas</t>
  </si>
  <si>
    <t>Diseñar e implementar un (1) plan de fortalecimiento para Sistema Distrital de Cultura y consejos de áreas artísticas</t>
  </si>
  <si>
    <t>Implementación de la Comisión Fílmica de Cartagena de Indias y adquisición del PUFAC (Permiso Unificado de Filmaciones Audiovisuales) </t>
  </si>
  <si>
    <t>Implementar una (1) Comisión Fílmica en Cartagena de Indias y adquisición del PUFAC (Permiso Unificado de Filmaciones Audiovisuales) </t>
  </si>
  <si>
    <t>Política Pública Distrital de Cinematografía, Medios Audiovisuales e Interactivos formulada e implementada</t>
  </si>
  <si>
    <t>Formular e implementar una (1) Política Pública Distrital de Cinematografía, Medios Audiovisuales e Interactivos</t>
  </si>
  <si>
    <t>Cinemateca de Cartagena de Indias construida</t>
  </si>
  <si>
    <t>Construir una (1) cinemateca de Cartagena de Indias </t>
  </si>
  <si>
    <t>Número de festivales, fiestas y festejos implementados y desarrollados</t>
  </si>
  <si>
    <t>Implementar y desarrollar dieciséis (16) festivales, fiestas y festejos para promoción del patrimonio inmaterial</t>
  </si>
  <si>
    <t>Festival de Música del Caribe impulsado anualmente</t>
  </si>
  <si>
    <t>Impulsar anualmente el desarrollo de un (1) Festival de Música del Caribe</t>
  </si>
  <si>
    <t>Inventario del patrimonio cultural material e inmaterial de Cartagena elaborado</t>
  </si>
  <si>
    <t>Elaborar un (1) inventario del patrimonio cultural material e inmaterial de Cartagena</t>
  </si>
  <si>
    <t>Número de estrategias para la preservación y protección de las tradiciones técnicas, costumbres y saberes propias de la cultura cartagenera diseñadas e implementadas</t>
  </si>
  <si>
    <t>Diseñar e implementar cuatro (4) estrategias para la preservación y protección de las tradiciones técnicas, costumbres y saberes propias de la cultura cartagenera (cultura alimentaria de las matronas, artesanía, tradición oral, entre otras)</t>
  </si>
  <si>
    <t>Plan Maestro para el cuidado, conservación y apropiación social del patrimonio material elaborado e implementado</t>
  </si>
  <si>
    <t>Elaborar e implementar un (1) Plan Maestro para el cuidado, conservación y apropiación social del patrimonio material</t>
  </si>
  <si>
    <t>Número de piezas de la colección del Museo Histórico de Cartagena intervenidas</t>
  </si>
  <si>
    <t>Intervenir seiscientas cuarenta (640) piezas de la colección del Museo Histórico de Cartagena</t>
  </si>
  <si>
    <t>Número de obras de infraestructura al bien de interés cultural, mejoradas, adecuadas y/o dotadas</t>
  </si>
  <si>
    <t>Mejorar, adecuar y/o dotar dos (2) pisos del bien de interés cultural: Palacio de la Inquisición</t>
  </si>
  <si>
    <t>Plan para la Consolidación y Promoción de la Memoria Histórica de Cartagena, formulado e implementado</t>
  </si>
  <si>
    <t>Formular e implementar un (1) Plan para la Consolidación y Promoción de la Memoria Histórica de Cartagena</t>
  </si>
  <si>
    <t>Número de escenarios deportivos nuevos construidos</t>
  </si>
  <si>
    <t>Construir doce (12) nuevos escenarios deportivos</t>
  </si>
  <si>
    <t>IDER</t>
  </si>
  <si>
    <t>Complejo Deportivo Nuevo Chambacú construido</t>
  </si>
  <si>
    <t>Construir un (1) Complejo Deportivo Nuevo Chambacú</t>
  </si>
  <si>
    <t>Número de escenarios deportivos reconstruidos</t>
  </si>
  <si>
    <t>Reconstruir dieciséis (16) escenarios deportivos</t>
  </si>
  <si>
    <t>Número de escenarios deportivos mantenidos, adecuados, y/o mejorados en el distrito de Cartagena de Indias</t>
  </si>
  <si>
    <t>Mantener, adecuar y/o mejorar trescientos  (300) escenarios deportivos</t>
  </si>
  <si>
    <t>Número de incentivos y/o apoyos otorgados a deportistas de alto rendimiento, convencionales y paralímpicos</t>
  </si>
  <si>
    <t>Entregar mil ciento treinta y dos (1.132) incentivos y/o apoyos para deportistas convencionales y paralímpicos</t>
  </si>
  <si>
    <t>Número de incentivos y/o apoyos otorgados a ligas, clubes, federaciones y otras organizaciones deportivas</t>
  </si>
  <si>
    <t>Otorgar trescientos veinte (320) incentivos y/o apoyos para ligas, clubes, federaciones y otras organizaciones deportivas</t>
  </si>
  <si>
    <t>Número de personas participantes de procesos de apropiación social del conocimiento del sector deportivo</t>
  </si>
  <si>
    <t>Vincular a veintiún mil quinientas (21.500) personas en procesos de apropiación social del conocimiento del sector deportivo</t>
  </si>
  <si>
    <t>Número de documentos de investigación en memoria histórica del deporte cartagenero y bolivarense publicados</t>
  </si>
  <si>
    <t>Publicar doce (12) documentos de investigación en memoria histórica del deporte cartagenero y bolivarense</t>
  </si>
  <si>
    <t>Número de niños, niñas, adolescentes y jóvenes inscritos en la escuela de iniciación y formación deportiva</t>
  </si>
  <si>
    <t>Vincular a veintiséis mil ochocientos (26.800) niños, niñas, adolescentes y jóvenes en la escuela de iniciación y formación deportiva</t>
  </si>
  <si>
    <t>Número de núcleos de la escuela iniciativa y formación deportiva mantenidas y creados</t>
  </si>
  <si>
    <t>Mantener cincuenta y cinco (55) y crear seis (6) núcleos de la escuela iniciativa y formación deportiva</t>
  </si>
  <si>
    <t>Número de núcleos de educación física extraescolar creados</t>
  </si>
  <si>
    <t>Crear cuatro (4) núcleos de educación física extraescolar </t>
  </si>
  <si>
    <t>SECRETARÍA DE EDUCACIÓN SED – IDER</t>
  </si>
  <si>
    <t xml:space="preserve">Número de participantes en los diferentes eventos y/o torneos de las instituciones educativas y las universidades
</t>
  </si>
  <si>
    <t xml:space="preserve">Vincular a veintiocho mil (28.000) participantes en los eventos y/o torneos de las instituciones educativas y las universidades
</t>
  </si>
  <si>
    <t xml:space="preserve">Número de instituciones
educativas participantes en
los Juegos Intercolegiado
</t>
  </si>
  <si>
    <t>Vincular a doscientas (200) Instituciones Educativas en los Juegos Intercolegiados</t>
  </si>
  <si>
    <t>Número de personas participantes vinculadas en los eventos y/o torneos del deporte social comunitario</t>
  </si>
  <si>
    <t>Vincular a sesenta y un mil (61.000) personas en los eventos y/o torneos del deporte social comunitario</t>
  </si>
  <si>
    <t>Número de participantes vinculados en las estrategias y/o actividades de recreación comunitaria.</t>
  </si>
  <si>
    <t>Vincular a ciento ochenta mil (180.000) participantes en las estrategias y/o actividades de recreación comunitaria</t>
  </si>
  <si>
    <t>Número de participantes vinculados a las estrategias de actividad física</t>
  </si>
  <si>
    <t>Vincular a ciento veinte mil (120.000) participantes a las estrategias de actividad física</t>
  </si>
  <si>
    <t>Número de eventos deportivos de carácter regional, nacional e internacional impulsados</t>
  </si>
  <si>
    <t>Impulsar doscientos (200) eventos deportivos de carácter regional, nacional e internacional</t>
  </si>
  <si>
    <t>Número de personas vinculadas a los eventos deportivos de carácter regional, nacional e internacional</t>
  </si>
  <si>
    <t>Vincular a sesenta mil (60.000) personas a los eventos deportivos de carácter regional, nacional e internacional</t>
  </si>
  <si>
    <t>Número de eventos recreativos de carácter regional, nacional e internacional impulsados</t>
  </si>
  <si>
    <t>Impulsar noventa y seis (96) eventos recreativos de carácter regional, nacional e internacional</t>
  </si>
  <si>
    <t>Número de personas vinculadas a los eventos recreativos de carácter regional, nacional e internacional</t>
  </si>
  <si>
    <t>Vincular a sesenta y cinco mil (65.000) personas a los eventos recreativos de carácter regional, nacional e internacional</t>
  </si>
  <si>
    <t>Número de niñas y niños en primera infancia con atenciones priorizadas en el marco de la atención integral</t>
  </si>
  <si>
    <t>Atender a dos mil ochocientos (2.800) niñas y niños en primera infancia en el marco de la atención integral anualmente</t>
  </si>
  <si>
    <t>SECRETARÍA DE PARTICIPACIÓN DE DESARROLLO SOCIAL</t>
  </si>
  <si>
    <t>Número de padres, madres, cuidadores participantes en acciones de formación para el fortalecimiento de vínculos, la crianza amorosa y la promoción de sus derechos.</t>
  </si>
  <si>
    <t>Vincular a treinta y tres mil ochocientos veintidós (33.822) de padres, madres, y cuidadores en acciones de formación para el fortalecimiento de vínculos, la crianza amorosa y la promoción de sus
derechos</t>
  </si>
  <si>
    <t>Centros de Desarrollo Infantil construidos y dotados en el Distrito</t>
  </si>
  <si>
    <t>Construir y dotar dos (2) Centros de Desarrollo Infantil en el Distrito</t>
  </si>
  <si>
    <t>Centros de desarrollo infantil adecuados</t>
  </si>
  <si>
    <t>Adecuar tres (3) Centros de Desarrollo Infantil</t>
  </si>
  <si>
    <t>Número de niños, niñas y adolescentes que participan en actividades para la prevención y desvinculación de situación o riesgo de todo tipo de violencia.</t>
  </si>
  <si>
    <t>Vincular a treinta y seis mil (36.000) niños, niñas y adolescentes en actividades para la prevención y desvinculación de situación o riesgo de todo tipo de violencia</t>
  </si>
  <si>
    <t>Número de niños, niñas, adolescentes beneficiados con acciones de prevención de amenazas o vulneración de derechos a través del Hogar de Protección</t>
  </si>
  <si>
    <t>Beneficiar a cuatrocientos ochenta (480) niños, niñas y adolescentes anualmente con acciones de prevención de amenazas o vulneración de derechos a través del Hogar de Protección</t>
  </si>
  <si>
    <t>Ruta actualizada y socializada para la atención y protección de niños y niñas contra la Explotación Sexual Comercial de Niños Niñas y Adolescentes</t>
  </si>
  <si>
    <t>Actualizar y socializar una (1) ruta para la atención y protección de niños y niñas contra la Explotación Sexual Comercial de Niños Niñas y Adolescentes</t>
  </si>
  <si>
    <t>Número de padres, madres y cuidadores formados para la prevención de las violencias y buena crianza hacia NNA.</t>
  </si>
  <si>
    <t>Formar a ocho mil (8.000) padres, madres y cuidadores en prevención de las violencias y buena crianza a niños, niñas y adolescentes</t>
  </si>
  <si>
    <t>Número de niños, niñas y adolescentes vinculados a actividades lúdicas extramurales y del ejercicio del derecho al juego al interior de las ludotecas distritales.</t>
  </si>
  <si>
    <t>Vincular a sesenta y tres mil (63.000) niños, niñas y adolescentes en actividades lúdicas extramurales y del ejercicio del derecho al juego en las ludotecas distritales.</t>
  </si>
  <si>
    <t>Número de niños, niñas y adolescentes vinculados en acciones de promoción del derecho a la participación y a la asociación.</t>
  </si>
  <si>
    <t>Vincular a dos mil trescientos (2.300) niños, niñas y adolescentes en acciones de promoción del derecho a la participación y a la asociación</t>
  </si>
  <si>
    <t>Plan Regional de Competitividad actualizado</t>
  </si>
  <si>
    <t>Acciones que fortalezcan el mejoramiento del clima de negocios implementadas</t>
  </si>
  <si>
    <t>SECRETARÍA DE HACIENDA</t>
  </si>
  <si>
    <t>Estrategias de acompañamiento de iniciativas de clúster y apuestas productivas promisorias ejecutadas con apuestas productivas hacia sectores de mayor generación de valor agregado</t>
  </si>
  <si>
    <t>Personas beneficiadas con la implementación de planes de fomento de la cultura de la innovación</t>
  </si>
  <si>
    <t>Sistema Distrital de Innovación actualizado</t>
  </si>
  <si>
    <t>Estrategias de posicionamiento “Cartagena Plataforma Exportadora” implementadas</t>
  </si>
  <si>
    <t>Empresas asistidas en programa de exportaciones</t>
  </si>
  <si>
    <t>Alianzas para la promoción de Cartagena como “destino internacional en inversiones y apuestas productivas” generadas</t>
  </si>
  <si>
    <t>Rutas para la diversificación económica y el desarrollo empresarial implementadas</t>
  </si>
  <si>
    <t>Estrategias de fortalecimiento empresarial y generación de encadenamientos productivos ejecutadas</t>
  </si>
  <si>
    <t>MiPymes impactadas con servicios de fortalecimiento empresarial</t>
  </si>
  <si>
    <t>Programa de fortalecimiento de comerciantes de sectores estratégicos implementado</t>
  </si>
  <si>
    <t>Número de alianzas de cooperantes nacionales e internacionales habilitadas y consolidadas en el Distrito</t>
  </si>
  <si>
    <t>Número de organizaciones mapeadas y habilitadas para cooperar</t>
  </si>
  <si>
    <t>SECRETARÍA GENERAL - COOPERACIÓN INTERNACIONAL</t>
  </si>
  <si>
    <t>Negocios verdes consolidados</t>
  </si>
  <si>
    <t>ESTABLECIMIENTO PÚBLICO AMBIENTAL EPA</t>
  </si>
  <si>
    <t>Plantas para la revalorización de residuos en zonas de tratamiento integral implementadas</t>
  </si>
  <si>
    <t xml:space="preserve">SECRETARÍA GENERAL (SERVICIOS PÚBLICOS) - SECRETARÍA DE HACIENDA
</t>
  </si>
  <si>
    <t>Número de proyectos específicos de economía circular implementados con el apoyo de Cooperantes</t>
  </si>
  <si>
    <t>Número de investigaciones desarrolladas para evaluar y redefinir las apuestas productivas de la ciudad en el marco de las tendencias futuras de la economía mundial</t>
  </si>
  <si>
    <t>Número de estudios sobre mercado laboral y pertinencia educativas elaborados</t>
  </si>
  <si>
    <t>Fondo para la reconversión productiva destinada a emprendimientos de pequeñas y medianas empresas creada</t>
  </si>
  <si>
    <t>Estrategia de encadenamientos productivos a nivel intersectorial e intrasectorial entre las grandes, medianas y pequeñas empresas</t>
  </si>
  <si>
    <t>Centros de Formación para el Empleo con Enfoque en Ciencia, Tecnología, Innovación y Bilingüismo creados y en funcionamiento</t>
  </si>
  <si>
    <t>SECRETARÍA DE EDUCACIÓN</t>
  </si>
  <si>
    <t>Jóvenes (mujeres, grupos étnicos y víctimas) vinculados a estrategias de formación relacionadas a la innovación y la Cuarta Revolución Industrial</t>
  </si>
  <si>
    <t>Estrategias de acceso a oportunidades del mercado laboral (trabajo formal y formalización del trabajo informal) implementadas</t>
  </si>
  <si>
    <t>Cooperativas creadas que vinculen a las Organizaciones Comunales y de víctimas del conflicto en el desarrollo de oportunidades del mercado laboral</t>
  </si>
  <si>
    <t>Personas vinculadas a rutas de empleo y capital humano</t>
  </si>
  <si>
    <t>Número de estudiantes vinculados en la administración distrital, a través de la realización de las prácticas laborales</t>
  </si>
  <si>
    <t>Número de jóvenes graduados sin experiencia laboral vinculados a la administración distrital</t>
  </si>
  <si>
    <t>Número de mujeres cualificadas para la inserción laboral</t>
  </si>
  <si>
    <t>Rutas de emprendimiento implementadas</t>
  </si>
  <si>
    <t>Planes de comercialización y visibilización de productos de emprendedores ejecutados</t>
  </si>
  <si>
    <t>Estrategias de acompañamiento a emprendimientos y Mipymes para acceso a mecanismos de financiación elaboradas</t>
  </si>
  <si>
    <t>Emprendedores intervenidos con capacidades para emprender fortalecidas</t>
  </si>
  <si>
    <t>Estrategias de proveeduría de sectores administrados por el Distrito que vincule la participación de emprendimientos, negocios y/o proyectos productivos liderado por mujeres diseñada y ejecutada</t>
  </si>
  <si>
    <t>SECRETARÍA DE HACIENDA - SECRETARÍA DE PARTICIPACIÓN Y DESARROLLO SOCIAL</t>
  </si>
  <si>
    <t xml:space="preserve">Número de estrategias para promover el ecosistema de emprendimiento e innovación implementada
</t>
  </si>
  <si>
    <t>Microcentros de Inteligencia Artificial creados</t>
  </si>
  <si>
    <t>SECRETARÍA GENERAL - OFICINA DE INFORMATICA</t>
  </si>
  <si>
    <t>Caracterización socio empresarial de familias vulnerables atendidas en el Distrito</t>
  </si>
  <si>
    <t>Personas vulnerables Formadas y con fortalecimiento productivo</t>
  </si>
  <si>
    <t>Número de ferias de emprendimientos desarrolladas anualmente en el Distrito</t>
  </si>
  <si>
    <t>Número de emprendimientos, negocios y/o proyectos productivos liderados por mujeres financiados y formalizados</t>
  </si>
  <si>
    <t>Jóvenes formados en emprendimientos e inclusión productiva.</t>
  </si>
  <si>
    <t>Emprendimientos juveniles apoyados financieramente</t>
  </si>
  <si>
    <t>Jóvenes formados y certificados para la vinculación e inserción en el mercado laboral</t>
  </si>
  <si>
    <t>Espacios o acciones de promoción para la vinculación laboral de jóvenes al trabajo formal y promoción del primer empleo</t>
  </si>
  <si>
    <t>Número de vendedores formalizados con emprendimiento y creación de pequeña empresa</t>
  </si>
  <si>
    <t>GEPM - SECRETARÍA DE HACIENDA</t>
  </si>
  <si>
    <t>Mobiliario urbano para el emprendimiento económico diseñado</t>
  </si>
  <si>
    <t>Docuemntos de lineamientos para el manejo del sector turismo elaborados</t>
  </si>
  <si>
    <t>SECRETARÍA DE TURISMO</t>
  </si>
  <si>
    <t>Centro de Atención al Turista en funcionamiento en el Distrito de Cartagena de Indias (zona insular y urbana)</t>
  </si>
  <si>
    <t>Equipamientos para brigadistas y guardavidas del Distrito entregados</t>
  </si>
  <si>
    <t>Número de personas líderes y autoridades turísticas vinculadas a procesos de formación</t>
  </si>
  <si>
    <t>Número de personas vinculadas a procesos de formación formal e informal asuntos turísticos</t>
  </si>
  <si>
    <t>Número de personas vinculadas con oportunidades de acceso a rutas de empleo y capital humano enfocado en turismo sostenible</t>
  </si>
  <si>
    <t>Rutas comunitarias creadas e implementadas (rutas eco-ambientales, gastronómicas, culturales, turísticas, entre otras)</t>
  </si>
  <si>
    <t>Número de personas vinculadas a asistencia técnica para el fortalecimiento de la actividad artesanal</t>
  </si>
  <si>
    <t>Activos productivos entregados a los prestadores de servicios turísticos</t>
  </si>
  <si>
    <t>SECRETARÍA DE TURISMO - SECRETARÍA DE HACIENDA</t>
  </si>
  <si>
    <t>Número de atractivos turísticos con implementación de acciones de sostenibilidad ambiental</t>
  </si>
  <si>
    <t>Número de proyectos cofinanciados para la actividad turística</t>
  </si>
  <si>
    <t>Número de certificaciones de destino turístico sostenible obtenidas</t>
  </si>
  <si>
    <t>Portal Único de Información Turística sobre la Oferta Turística creado</t>
  </si>
  <si>
    <t>Tecnologia de destino turistica inteligente creada e implementada</t>
  </si>
  <si>
    <t>Alianzas con universidades para la formacion y profesionalizacion de actores turisticos implementado</t>
  </si>
  <si>
    <t>Número de eventos turísticos náuticos promovidos y desarrollados en la zona insular y urbana del Distrito</t>
  </si>
  <si>
    <t>Campañas de divulgación para la promoción y conectividad</t>
  </si>
  <si>
    <t>CORPOTURISMO - SECRETARÍA DE TURISMO</t>
  </si>
  <si>
    <t>Eventos especializados con participación del Distrito</t>
  </si>
  <si>
    <t>Productos turísticos desarrollados</t>
  </si>
  <si>
    <t>Eventos de ciudad con impacto nacional e internacional implementados en Cartagena</t>
  </si>
  <si>
    <t xml:space="preserve">Infraestructura turística dotada, adecuada, mejorada, mantenida y/o construida (infraestructura marino costera, embarcaderos)
</t>
  </si>
  <si>
    <t>SECRETARÍA DE INFRAESTRUCTURA - SECRETARÍA DE TURISMO</t>
  </si>
  <si>
    <t>Estudios de preinversión para proyectos turísticos elaborados</t>
  </si>
  <si>
    <t>Número de señalizaciones turísticas instaladas, (incluye playas y espacios turísticos que lo requieran)</t>
  </si>
  <si>
    <t>Acciones de mantenimiento infraestructuras turística para prestar servicios de vigilancia, control y seguridad a los turistas implementadas</t>
  </si>
  <si>
    <t>Entidad para el desarrollo y sostenibilidad turística consolidada</t>
  </si>
  <si>
    <t>Observatorio de Turismo creado</t>
  </si>
  <si>
    <t>Documentos de Planificación de Ordenamiento de Playas elaborado</t>
  </si>
  <si>
    <t>Número de procesos productivos de agricultura campesina familiar y comunitaria desarrollados</t>
  </si>
  <si>
    <t>UMATA</t>
  </si>
  <si>
    <t>Número de mujeres rurales atendidas con servicios de extensión agropecuaria</t>
  </si>
  <si>
    <t>Número de mujeres afros rurales atendidas con servicios de extensión agropecuaria</t>
  </si>
  <si>
    <t>Número de mujeres indígena atendidas en las actividades propias</t>
  </si>
  <si>
    <t>Número de circuitos cortos de comercialización implementados (mercados campesinos, ferias de negocios, HORECA, Mercado Virtual)</t>
  </si>
  <si>
    <t>Número de Planes de Extensión Agropecuaria del Distrito formulados y/o ejecutados</t>
  </si>
  <si>
    <t>Número de productores atendidos con servicios de extensión agropecuaria</t>
  </si>
  <si>
    <t>Número de encadenamientos y/o cadenas productivas para garantizar el derecho humano a la alimentación priorizadas, consolidadas y en funcionamiento</t>
  </si>
  <si>
    <t>Número de organizaciones de pescadores (pertenecientes a grupos étnicos) dotadas</t>
  </si>
  <si>
    <t>Número de procesos productivos en producción, reproducción y mejoramiento genético (bovina y/o especies menores) formulados y/o ejecutados</t>
  </si>
  <si>
    <t>Número de procesos asociativos para fortalecer las capacidades y competencias agropecuarias creados</t>
  </si>
  <si>
    <t>Número de emprendimientos rurales orientados a la generación de valor agregado asistido</t>
  </si>
  <si>
    <t>Número de alianzas y/o convenios interadministrativos para la dotación de infraestructura física y/o activos productivos de carácter público implementadas</t>
  </si>
  <si>
    <t>SECRETARÍA DE INFRAESTRUCTURA - CORVIVIENDA - UMATA</t>
  </si>
  <si>
    <t>Número de soluciones alternativas de fuentes de agua en zonas de producción agrícolas para mitigar el cambio climático implementadas</t>
  </si>
  <si>
    <t>SECRETARÍA DE INFRAESTRUCTURA - UMATA</t>
  </si>
  <si>
    <t>PROGRAMA: CARTAGENA CIUDAD DE PESCADORES</t>
  </si>
  <si>
    <t>Proyectos de maricultura implementados y formulados</t>
  </si>
  <si>
    <t>Acciones para el fortalecimiento de la mujer en el ejercicio de la pesca desarrolladas</t>
  </si>
  <si>
    <t>Centro de Acopio Integral creado</t>
  </si>
  <si>
    <t>Escuelas de pescadores de saberes ancestrales creadas</t>
  </si>
  <si>
    <t>Número de pruebas bromatológicas en los peces de la Bahía de Cartagena</t>
  </si>
  <si>
    <t>Número de pruebas ambientales en los peces de la Bahía de Cartagena</t>
  </si>
  <si>
    <t>EPA</t>
  </si>
  <si>
    <t>Fases del proceso de traslado del Mercado de Bazurto al nuevo sistema de mercados implementadas</t>
  </si>
  <si>
    <t>SECRETARÍA GENERAL - SECRETARÍA DE INFRAESTRUCTURA - DATT</t>
  </si>
  <si>
    <t>Número de Ocupantes del Espacio Público (O.E.P.) que fueron reubicados en zonas al interior del mercado formalizados (tramo 5A Transcaribe y otros)</t>
  </si>
  <si>
    <t>GEPM</t>
  </si>
  <si>
    <t>Número de Ocupantes del Espacio Público (O.E.P.) de zonas no intervenidas en el mercado de Bazurto pendientes por formalizar en mercados sectoriales</t>
  </si>
  <si>
    <t>Documentos normativos que rigen la operación de la plaza de mercados actualizados</t>
  </si>
  <si>
    <t>Plan de Gestión Sostenible del Sistema de Mercados del Distrito implementado</t>
  </si>
  <si>
    <t>Metros cuadrados de infraestructura de las plazas de mercado que conforman el Sistema Integral de Abastecimiento del Distrito intervenidos o mantenidos</t>
  </si>
  <si>
    <t>Plan de Ordenamiento Territorial revisado, actualizado, ajustado y presentado ante el Concejo para su adopción</t>
  </si>
  <si>
    <t>Plan Especial de Manejo y Protección del Centro Histórico y su área de influencia revisado, actualizado, ajustado y presentado ante el Ministerio de Cultura para su adopción</t>
  </si>
  <si>
    <t>Actuación Urbana Integral A.U.I – 12 / Recuperación Integral del Cerro de la Popa formulada</t>
  </si>
  <si>
    <t>SECRETARÍA DE PLANEACIÓN – GERENCIA DE ESPACIO PÚBLICO Y MOVILIDAD</t>
  </si>
  <si>
    <t>Actuación Urbana Integral A.U.I – 13 / Recuperación Integral del Cerro de Albornoz - Cospique formulada</t>
  </si>
  <si>
    <t>Nueva Actuación Urbana Integral Reordenamiento de los asentamientos de Nelson Mandela y Villa Hermosa formulada</t>
  </si>
  <si>
    <t>Planes Maestros de equipamientos formulado</t>
  </si>
  <si>
    <t>Plan Local Portuario formulado</t>
  </si>
  <si>
    <t>Plan Parcial de Renovación Urbana de Bazurto reformulado, adoptado y con seguimiento</t>
  </si>
  <si>
    <t>Planes Parciales en suelo de expansión de los Centros Poblados de Bayunca y Pasacaballos adoptados</t>
  </si>
  <si>
    <t>Plan Parcial de Reordenamiento de los Asentamientos de la Zona Industrial de Mamonal: Policarpa, Arroz Barato y Puerta de Hierro reformulado, adoptado y con seguimiento</t>
  </si>
  <si>
    <t>Plan Parcial de Reordenamiento de La Loma, Zaragocilla y Marión reformulado, adoptado y con seguimiento</t>
  </si>
  <si>
    <t>SECRETARÍA DE PLANEACIÓN - CORVIVIENDA</t>
  </si>
  <si>
    <t>Proyectos de legalización urbanística tramitados</t>
  </si>
  <si>
    <t>Plan Estratégico para el traslado de Marlinda y Villa Gloria diseñado y ejecutado</t>
  </si>
  <si>
    <t>Planes de Mejoramiento Integral de los Centros Poblados de los corregimientos continentales formulados y ejecutados</t>
  </si>
  <si>
    <t>Lineamientos técnicos y pedagógicos para garantizar el derecho a la ciudad de niñas y mujeres en el entorno urbano diseñados</t>
  </si>
  <si>
    <t>Plan Estratégico Prospectivo Cartagena 2050 formulado</t>
  </si>
  <si>
    <t>Metros cuadrados de espacios públicos recuperados y mantenidos</t>
  </si>
  <si>
    <t>GERENCIA DE ESPACIO PÚBLICO Y MOVILIDAD</t>
  </si>
  <si>
    <t>Metros cuadrados de espacio público habilitados para aprovechamiento económic</t>
  </si>
  <si>
    <t>Número de querellas presentadas para la recuperación del espacio público</t>
  </si>
  <si>
    <t>Política Pública de Legalización de Asentamientos Humanos y del Control Urbano formulada</t>
  </si>
  <si>
    <t>Documentos de planeación para la implementación la curaduría pública y de nuevas curadurías urbanas formulados</t>
  </si>
  <si>
    <t>Estudio para dar viabilidad para la creación de nuevas curadurías urbanas formulado</t>
  </si>
  <si>
    <t>Obras de demoliciones derivadas de fallos, sentencias y sanciones elaboradas</t>
  </si>
  <si>
    <t>SECRETARÍA DE INFRAESTRUCTURA</t>
  </si>
  <si>
    <t>Equipo de reacción inmediata para reducción, intervención y control de invasiones ilegales conformado</t>
  </si>
  <si>
    <t>Defensores Urbanos Barriales para la cultura urbanística certificados</t>
  </si>
  <si>
    <t>Inspecciones de Policía especializadas en temas urbanísticos</t>
  </si>
  <si>
    <t>Documentos normativos realizados</t>
  </si>
  <si>
    <t>Número de actividades desarrolladas por año para promover la protección y bienestar animal en sectores turísticos de la ciudad</t>
  </si>
  <si>
    <t>Número total de animales atendidos por año en las jornadas de salud, prevención y protección animal</t>
  </si>
  <si>
    <t>Número de protocolos estandarizados para la atención a animales domésticos y silvestres</t>
  </si>
  <si>
    <t>Número de animales domésticos censados</t>
  </si>
  <si>
    <t>Número de módulos o aplicativos funcionales de software integrados en una plataforma web de acceso abierto.</t>
  </si>
  <si>
    <t>Centro de Bienestar Animal del Distrito creado y en operación</t>
  </si>
  <si>
    <t>UMATA - DADIS</t>
  </si>
  <si>
    <t>Número de unidades móviles de atención veterinaria dotadas</t>
  </si>
  <si>
    <t>UMATA - EPA</t>
  </si>
  <si>
    <t>Árboles plantados en la ciudad</t>
  </si>
  <si>
    <t>Áreas degradadas en proceso de restauración</t>
  </si>
  <si>
    <t>Centro de Atención y Valoración de fauna silvestre construido y dotado</t>
  </si>
  <si>
    <t>Sistemas de información implementados para el Centro Inteligente de Monitoreo Ambiental de Cartagena</t>
  </si>
  <si>
    <t>Estaciones para el monitoreo de la calidad del aire implementadas</t>
  </si>
  <si>
    <t>Estrategias de educación ambiental implementadas</t>
  </si>
  <si>
    <t>Documentos de investigación ambiental realizados</t>
  </si>
  <si>
    <t>Política Pública de Educación Ambiental formulada</t>
  </si>
  <si>
    <t>Metros lineales de senderos peatonales diseñados</t>
  </si>
  <si>
    <t>Megaproyectos de parques con criterios de adaptación al cambio climático diseñados y construidos</t>
  </si>
  <si>
    <t>Documentos de lineamientos técnicos para la conservación de la biodiversidad y sus servicios ecosistémicos elaborados</t>
  </si>
  <si>
    <t>Plan 4C: Cartagena Competitiva y Compatible con el Clima actualizado</t>
  </si>
  <si>
    <t>Plan Distrital de Gestión de Riesgo actualizado y adoptado</t>
  </si>
  <si>
    <t>OFICINA ASESORA PARA LA GESTIÓN DE RIESGO DE DESASTRE</t>
  </si>
  <si>
    <t>Sistema de información de conocimiento del riesgo actualizado</t>
  </si>
  <si>
    <t>Inventarios de asentamientos en zonas de alto riesgo elaborados</t>
  </si>
  <si>
    <t>Sistema de comunicación de gestión del riesgo implementado</t>
  </si>
  <si>
    <t>Número de acciones para mitigación y atención a desastres coordinadas</t>
  </si>
  <si>
    <t>Número de organizaciones comunitarias capacitadas en prevención y gestión de los riesgos</t>
  </si>
  <si>
    <t>Número de Acciones de protección de laderas para reducción del riesgo en cerros de Cartagena</t>
  </si>
  <si>
    <t>Estrategia de respuestas a emergencias actualizada, formulada y adoptada </t>
  </si>
  <si>
    <t>Emergencias de riesgo atendidas</t>
  </si>
  <si>
    <t>Número de beneficios económicos a las familias afectadas en los distintos eventos entregados</t>
  </si>
  <si>
    <t>Número de kilómetros de construcción de protección costera.</t>
  </si>
  <si>
    <t>VALORIZACIÓN</t>
  </si>
  <si>
    <t>Plan Integral de Parques y Zonas Verdes formulado e implementado</t>
  </si>
  <si>
    <t>Orillas mejoradas para uso recreativo en caños, lagos y lagunas</t>
  </si>
  <si>
    <t>Plan Especial de Movilidad y Peatonalización del Centro Histórico formulado e implementado</t>
  </si>
  <si>
    <t>GERENCIA DE ESPACIO PÚBLICO Y MOVILIDAD - DATT- SECRETARÍAS DE INFRAESTRUCTURA</t>
  </si>
  <si>
    <t>Metros lineales de andenes y bordillos del Centro Histórico mejorados</t>
  </si>
  <si>
    <t>Plazas, parques y plazoletas del Centro Histórico mejorada</t>
  </si>
  <si>
    <t>Estudio de Capacidad de Carga del Espacio Público Patrimonial elaborado</t>
  </si>
  <si>
    <t>GERENCIA DE ESPACIO PÚBLICO Y MOVILIDAD - IPCC</t>
  </si>
  <si>
    <t>Estudio de las nuevas Tipologías Arquitectónicas del Centro Histórico elaborado</t>
  </si>
  <si>
    <t>SECRETARÍA DE PLANEACIÓN - IPCC</t>
  </si>
  <si>
    <t>Cartilla del Espacio Público Patrimonial elaborada</t>
  </si>
  <si>
    <t>GERENCIA DE ESPACIO PÚBLICO Y MOVILIDAD - DATT- SECRETARÍA DE PLANEACIÓN - ESCUELA TALLER ETCAR</t>
  </si>
  <si>
    <t>Número de parques del Centro Histórico recuperados y mejorados</t>
  </si>
  <si>
    <t>SECRETARÍA GENERAL - DIRECCIÓN ADMINISTRATIVA DE APOYO LOGISTICO</t>
  </si>
  <si>
    <t>Espacios públicos rehabilitados que comunican el Centro Histórico y Castillo de San Felipe</t>
  </si>
  <si>
    <t xml:space="preserve">ESCUELA TALLER CARTAGENA DE INDIAS - GERENCIA DE ESPACIO PÚBLICO Y MOVILIDAD - SECRETARÍA DE INFRAESTRUCTURA
</t>
  </si>
  <si>
    <t>Número de zonas del espacio público adecuadas para la recreación y el deporte en el paisaje fortificado</t>
  </si>
  <si>
    <t>Enlaces peatonales de cordón amurallado construidos</t>
  </si>
  <si>
    <t>ESCUELA TALLER CARTAGENA DE INDIAS - GERENCIA DE ESPACIO PÚBLICO Y MOVILIDAD - SECRETARÍA DE INFRAESTRUCTURA</t>
  </si>
  <si>
    <t>Número de actividades de para la apropiación colectiva del patrimonio y la gobernanza territorial desarrolladas</t>
  </si>
  <si>
    <t xml:space="preserve">ESCUELA TALLER CARTAGENA DE INDIAS (ETCAR)
</t>
  </si>
  <si>
    <t>PROGRAMA: INTERVENCIONES URBANAS INTEGRALES</t>
  </si>
  <si>
    <t>Obras construidas para la competitividad diferente a vías</t>
  </si>
  <si>
    <t>PROGRAMA: REHABILITACIÓN, MANTENIMIENTO, ADECUACIÓN, Y OBRA NUEVA PARA EL SISTEMA VIAL Y ESTRUCTURAS DE PASO</t>
  </si>
  <si>
    <t>Kilómetros carriles  rehabilitados de la malla vial</t>
  </si>
  <si>
    <t>Kilómetros carriles  construidos de la malla vial</t>
  </si>
  <si>
    <t>Puentes nuevos construidos en la ciudad</t>
  </si>
  <si>
    <t>Corredor vial de la troncal del sur construido</t>
  </si>
  <si>
    <t>Número de kilómetros de construcción de vías Urbanas por contribución de valorización.</t>
  </si>
  <si>
    <t>Número de kilómetros de construcción de vías rurales</t>
  </si>
  <si>
    <t>Número de metros cuadrados de andenes construidos</t>
  </si>
  <si>
    <t>Señales verticales instaladas</t>
  </si>
  <si>
    <t>Marcas longitudinales demarcadas</t>
  </si>
  <si>
    <t>Kilómetros de ciclorutas diseñadas y demarcadas</t>
  </si>
  <si>
    <t>Red semafórica ampliada</t>
  </si>
  <si>
    <t>Rutas del Transporte Público Colectivo actualizadas y normalizadas</t>
  </si>
  <si>
    <t>Estaciones satélites de transporte informal erradicadas</t>
  </si>
  <si>
    <t>Puntos críticos intervenidos</t>
  </si>
  <si>
    <t>Zonas de Estacionamiento Regulado (ZER) diseñados y demarcados</t>
  </si>
  <si>
    <t>Vehículos de tracción animal dedicados al transporte de cargas livianas sustituidos</t>
  </si>
  <si>
    <t>Vehículos de tracción animal dedicados al servicio turístico sustituidos</t>
  </si>
  <si>
    <t>Caracterización socioeconómica de mototrabajadores elaborada</t>
  </si>
  <si>
    <t>Estaciones Renovadas</t>
  </si>
  <si>
    <t>TRANSCARIBE</t>
  </si>
  <si>
    <t>Patio Portal Renovado</t>
  </si>
  <si>
    <t>Carril de solobus renovado</t>
  </si>
  <si>
    <t>Servicio de seguridad ciudadana implementado en el SITM</t>
  </si>
  <si>
    <t>Paraderos Renovados</t>
  </si>
  <si>
    <t>Modernización de los servicios conexos al sistema de recaudo, gestión de flota, información al usuario</t>
  </si>
  <si>
    <t>Estrategias para la promoción de la cultura ciudadana y el uso del sistema</t>
  </si>
  <si>
    <t>Estudios técnicos para la evaluación de operación diseñados</t>
  </si>
  <si>
    <t>TRANSCARIBE - SECRETARÍA DE INFRAESTRUCTURA</t>
  </si>
  <si>
    <t>Fases de ejecución del proyecto de transporte acuático</t>
  </si>
  <si>
    <t>SECRETARÍA DE INFRAESTRUCTURA - TRANSCARIBE</t>
  </si>
  <si>
    <t>Embarcaderos para el transporte acuático construidos o recuperados</t>
  </si>
  <si>
    <t>Estudio para la implementación de la tarifa diferencial en el Sistema</t>
  </si>
  <si>
    <t>Estrategia para la lucha contra el acoso en el Sistema Integrado de Transporte Masivo implementada</t>
  </si>
  <si>
    <t>Pasajeros movilizados</t>
  </si>
  <si>
    <t>Número de hectáreas de manglar en proceso de recuperación</t>
  </si>
  <si>
    <t>Metros cúbicos extraídos mediante relimpia realizada en cuerpos de agua internos en el perímetro urbano de Cartagena</t>
  </si>
  <si>
    <t>EPA - EDURBE</t>
  </si>
  <si>
    <t>Estudios de prefactibilidad para la implementación de laboratorio interactivo</t>
  </si>
  <si>
    <t>Kilómetros diseño de canales </t>
  </si>
  <si>
    <t>VALORIZACIÓN - SECRETARÍA DE INFRAESTRUCTURA</t>
  </si>
  <si>
    <t>Kilómetros canales construidos.</t>
  </si>
  <si>
    <t>Metros cúbicos limpieza y/o rectificación de canales.</t>
  </si>
  <si>
    <t>Kilómetros recuperados de bordes de costa de cuerpos de agua</t>
  </si>
  <si>
    <t>Documento de acotamiento y priorización de ronda hídrica elaborado</t>
  </si>
  <si>
    <t>Rondas hídricas priorizadas a través del documento de acotamiento recuperadas</t>
  </si>
  <si>
    <t>Plan Parcial de Chambacú, Torices, La Unión formulado, adoptado y con seguimiento</t>
  </si>
  <si>
    <t>Plan Maestro de Caños, Lagunas y Ciénagas interiores de la ciudad y la Bahía de Cartagen</t>
  </si>
  <si>
    <t>Número de afluentes principales que derivan en la Ciénaga de la Virgen recuperadas</t>
  </si>
  <si>
    <t>EPA </t>
  </si>
  <si>
    <t>Campañas de educación ambiental y participación implementadas a los ciudadanos aledaños a la Ciénaga de la Virgen, sobre la conservación y protección del espacio verde</t>
  </si>
  <si>
    <t>Proyectos para el mejoramiento de la calidad del recurso hídrico formulados en Sistema Estabilizadora de Mareas desarrollados</t>
  </si>
  <si>
    <t>Plan de Gestión Social y Ambiental de la Ciénaga de la Virgen formulado e implementado</t>
  </si>
  <si>
    <t>Estudios y diseños actualizados red urbana formulados</t>
  </si>
  <si>
    <t>Planes Parciales de Renovación Urbana adoptados</t>
  </si>
  <si>
    <t>Plan de Mejoramiento Integral de la Boquilla formulado</t>
  </si>
  <si>
    <t>Estudios detallados de amenaza y riesgo para territorios delimitados en Planes Parciales elaborados</t>
  </si>
  <si>
    <t>Operación Territorial – O.T-5 / Frente Costero y Protección formulada</t>
  </si>
  <si>
    <t>Operación Territorial – O.T-6 / Bahía de Cartagena – Canal del Dique formulada</t>
  </si>
  <si>
    <t>Operación Territorial – O.T-12 / Zona Insular formulada</t>
  </si>
  <si>
    <t>Planes de Mejoramiento Integral de los Centros Poblados insulares formulados y ejecutados</t>
  </si>
  <si>
    <t>Cartilla de Tipologías de Vivienda Insular o Costera adaptada a los eventos de cambio climático diseñada</t>
  </si>
  <si>
    <t>Proyectos estratégicos para el mantenimiento de los cuerpos de agua de la ciudad implementados</t>
  </si>
  <si>
    <t>Proyectos estratégicos para el mantenimiento de los cuerpos de agua de la ciudad formulados en fase de prefactibilidad</t>
  </si>
  <si>
    <t>Estudio de clúster para la competitividad regional elaborado</t>
  </si>
  <si>
    <t>Iniciativa regional de infraestructura de transporte y conectividad para la productividad</t>
  </si>
  <si>
    <t>SECRETARÍA DE PLANEACIÓN - TRANSCARIBE</t>
  </si>
  <si>
    <t>Servicio de protección del recurso hídrico</t>
  </si>
  <si>
    <t>Trámites y otros procedimientos administrativos racionalizados</t>
  </si>
  <si>
    <t>Centro Integral Ciudadano creado</t>
  </si>
  <si>
    <t>Ventanillas de atención al ciudadano optimizadas en su funcionamiento</t>
  </si>
  <si>
    <t>Estrategias para responder a transparencia activa y pasiva, los instrumentos de gestión de la información con criterios de accesibilidad</t>
  </si>
  <si>
    <t>Número de rendiciones de cuentas desarrolladas</t>
  </si>
  <si>
    <t>SECRETARÍA GENERAL - SECRETARÍA DE PLANEACIÓN</t>
  </si>
  <si>
    <t>Personas formadas en uso de Tecnologías de Información y Comunicaciones (TIC)</t>
  </si>
  <si>
    <t xml:space="preserve">OFICINA ASESORA DE INFORMATICA - ESCUELA DE GOBIERNO Y LIDERAZGO
</t>
  </si>
  <si>
    <t>Sistemas de información institucionales actualizados</t>
  </si>
  <si>
    <t>OFICINA ASESORA DE INFORMATICA</t>
  </si>
  <si>
    <t>Sistemas de información institucionales nuevos implementados</t>
  </si>
  <si>
    <t>Número de zonas wifi-gratuitas instaladas y mantenidas</t>
  </si>
  <si>
    <t>Estrategia para la simplificación de procesos en el Distrito implementada</t>
  </si>
  <si>
    <t>Estrategia para la gestión del conocimiento y la innovación creada e implementada</t>
  </si>
  <si>
    <t>SECRETARÍA GENERAL Dirección Administrativa de Talento Humano</t>
  </si>
  <si>
    <t>Herramientas Tecnológicas para el uso, apropiación y fortalecimiento institucional implementadas</t>
  </si>
  <si>
    <t>Documentos de diagnóstico e implementación del Modelo Integrado de Planeación y Gestión – MIPG implementado</t>
  </si>
  <si>
    <t>Agenda regulatoria anual elaborada e implementada</t>
  </si>
  <si>
    <t>Procesos de depuración normativa distrital implementados</t>
  </si>
  <si>
    <t>Número de predios del inventario de bienes inmuebles del Distrito actualizados</t>
  </si>
  <si>
    <t>SECRETARÍA GENERAL Dirección Administrativa de Apoyo Logístico</t>
  </si>
  <si>
    <t>intervenciones a los bienes inmuebles y predios del Distrito</t>
  </si>
  <si>
    <t>Inventario de bienes muebles actualizado</t>
  </si>
  <si>
    <t>Fases del proceso de rediseño institucional implementadas</t>
  </si>
  <si>
    <t>Plan Estratégico Tratamiento de Riesgo de Seguridad y Privacidad de la información implementado</t>
  </si>
  <si>
    <t>Plan Estratégico de Seguridad y Privacidad de la información implementado</t>
  </si>
  <si>
    <t>Cloud Data Center implementado en el Distrito</t>
  </si>
  <si>
    <t>Servicios de gestión documental implementados</t>
  </si>
  <si>
    <t>Servicio de sistemas de gestión implementado</t>
  </si>
  <si>
    <t>Sistema de Gestión de Archivos Electrónicos – SGDEA implementado en cinco fases</t>
  </si>
  <si>
    <t>Plan de Formación sobre el Sistema de Control Interno y Control Interno Contable diseñado e implementado</t>
  </si>
  <si>
    <t>Software de Auditoría Basada en Riesgos para procesos y sistemas de información implementado</t>
  </si>
  <si>
    <t>Sedes del DATT dotadas con logística para mejorar la gestión administrativa y operativa en la prestación del servicio</t>
  </si>
  <si>
    <t>Portafolio virtual para oferta de trámites y servicios diseñado</t>
  </si>
  <si>
    <t>Cartera el DATT recuperada</t>
  </si>
  <si>
    <t>Puntos de la ciudad con sistema de monitoreo, control y fiscalización electrónica del tránsito instalados</t>
  </si>
  <si>
    <t>Impuesto Predial Unificado recaudado</t>
  </si>
  <si>
    <t>Impuesto Industria, Comercio y complementarios recaudado</t>
  </si>
  <si>
    <t>Impuesto delineación urbana recaudado</t>
  </si>
  <si>
    <t>Sobretasa a la gasolina recaudado</t>
  </si>
  <si>
    <t>Estrategias de fortalecimiento tributario en el Distrito diseñadas e implementadas</t>
  </si>
  <si>
    <t>Proyecto de modernización de la Secretaría de Hacienda implementado</t>
  </si>
  <si>
    <t>Número de servidores públicos y contratistas del Distrito formados y cualificados en enfoques diferenciales</t>
  </si>
  <si>
    <t>ESCUELA DE GOBIERNO Y LIDERAZGO</t>
  </si>
  <si>
    <t>Número de estrategias de formación en cultura tributarias dirigidas servidores públicos y contratistas del distrito creadas e implementadas</t>
  </si>
  <si>
    <t>Número de procesos de formación a ciudadanos desarrollados</t>
  </si>
  <si>
    <t>Número de procesos de formación a ciudadanos pertenecientes a grupos étnicos desarrollados</t>
  </si>
  <si>
    <t>Número de mesas de planeación y participación elaboradas con personas de los distintos grupos de población con enfoque inclusivo, diferencial y territorial</t>
  </si>
  <si>
    <t>Número de procesos de formación a ciudadanos con enfoque inclusivo, diferencial y territorial desarrollados</t>
  </si>
  <si>
    <t>Número de estrategias pedagógicas implementadas para promover el orgullo y el sentido de pertenencia por la ciudad</t>
  </si>
  <si>
    <t>Numero de iniciativas de cultura ciudadana implementadas</t>
  </si>
  <si>
    <t>Número de estrategias pedagógicas implementadas para fortalecer la cultura vial y el adecuado uso del Sistema Integardo de Transoporte Masivo</t>
  </si>
  <si>
    <t>Numero de estrategias de promocion de practicas para el cuidado y el desarrollo integral del ser humano implementadas</t>
  </si>
  <si>
    <t>Numero de estartegias para fomentar el respeto y la prevencion del maltrato contra la mujer implementadas</t>
  </si>
  <si>
    <t>Número de mesas de gobernanza elaboradas para el seguimiento a indicadores de ciudad</t>
  </si>
  <si>
    <t>Número de procesos de formación en gobernanza e innovación pública desarrollados</t>
  </si>
  <si>
    <t>Número de organismos de acción comunal asesoradas y acompañados para el trámite exitoso de su Registro Único Tributario (RUT) ante la DIAN</t>
  </si>
  <si>
    <t>Instituto Distrital de Acción Comunal</t>
  </si>
  <si>
    <t>Numero de organismos de accion comunal asesorados y acompañados para eñ tramite exitoso de su registro unico comunal (RUC) ante el Ministerio del Interior</t>
  </si>
  <si>
    <t>Numero de organismos de accion comunal asesorados y acompañados en procesos de actualizacion estatutaria</t>
  </si>
  <si>
    <t>Guia Metodologica para la formulacion de planes de desarrollo estrategicos comunales PDEC creada e implementada</t>
  </si>
  <si>
    <t>Ruta para garantizar la proteccion y acompañamiento de lideres y lideresas sociales, dignatarios y/o afiliados a organismos comunales de la ciudad en situacion de riesgo diseñada</t>
  </si>
  <si>
    <t>Plataforma web de seguimiento a procesos y procedimientos de organismos comunales y organinazciones sociales de base creada y en funcionamiento</t>
  </si>
  <si>
    <t>Numero de obras de interes comunitarias con organismos de acción comunal financiadas a través de convenios solidarios</t>
  </si>
  <si>
    <t>Número de sedes de organismos comunales dotadas y/o adecuadas</t>
  </si>
  <si>
    <t>Sedes de organismos comunales construidas</t>
  </si>
  <si>
    <t>Banco de proyectos de iniciativa comunal y comunitaria creado</t>
  </si>
  <si>
    <t>Número de acciones de cambio y transformación del entorno desarrolladas con organismos de acción comunal y la cuadrilla comunal en los barrios de la ciudad</t>
  </si>
  <si>
    <t>Número de fondos de financiamiento y apalancamiento para la ejecución de iniciativas y proyectos de organizaciones comunales, comunitarias y/o sociales de base creados</t>
  </si>
  <si>
    <t>Cantidad de recursos para presupuestos participativos invertidos</t>
  </si>
  <si>
    <t>SECRETARÍA DEL INTERIOR Instituto Distrital de Acción Comunal</t>
  </si>
  <si>
    <t>Número de ciudadanos participando en la construcción de instrumentos de gestión y de políticas públicas.</t>
  </si>
  <si>
    <t>Campañas para la promoción de la participación ciudadana creadas</t>
  </si>
  <si>
    <t>Número de encuentros comunales y/o comunitarios de intercambio de experiencias, construcción de ciudad y promoción de la participación ciudadana desarrollados</t>
  </si>
  <si>
    <t>Número de afiliados y afiliadas a organismos comunales del Distrito certificados bajo la metodología del programa Formador de Formadores para la Acción Comunal</t>
  </si>
  <si>
    <t>Número de voluntariados juveniles distritales conformados</t>
  </si>
  <si>
    <t>Número de escuelas de formación en liderazgo juvenil</t>
  </si>
  <si>
    <t>Número de jóvenes vinculados en programas de formación sociopolítica y habilidades para la vida</t>
  </si>
  <si>
    <t>Programas para el fortalecimiento de los derechos de la Juventud implementado</t>
  </si>
  <si>
    <t>Consejo Distrital de Juventud y Plataforma de Juventudes acompañados</t>
  </si>
  <si>
    <t>Mecanismo de promoción de la participación política y organización de las mujeres creado</t>
  </si>
  <si>
    <t>Número de mujeres formadas para la participación sociopolítica, liderazgo e incidencia política en el Distrito</t>
  </si>
  <si>
    <t>Casa de la Mujer en operación y/o funcionamiento</t>
  </si>
  <si>
    <t>Estudios socioeconómicos y poblacionales elaborados</t>
  </si>
  <si>
    <t>Estudios de focalización territorial de beneficiarios de Programas Sociales elaborados</t>
  </si>
  <si>
    <t>Productos de generación de nuevo conocimiento desarrollados</t>
  </si>
  <si>
    <t>Actividades científicas de apropiación social del conocimiento desarrollados</t>
  </si>
  <si>
    <t>Encuesta Multipropósito desarrollada</t>
  </si>
  <si>
    <t>Mapa Interactivo de Asuntos del Suelo - MIDAS 
actualizado y optimizado</t>
  </si>
  <si>
    <t>Sistema de Información Geográfico y Estadístico Distrital con infraestructura de datos espaciales creado</t>
  </si>
  <si>
    <t>Base de datos de estratificación actualizada</t>
  </si>
  <si>
    <t>Política de Gestión Estadística implementada en el marco del MIPG</t>
  </si>
  <si>
    <t>Base de datos del Sistema de Identificación de Potenciales Beneficiarios de Programas Sociales - SISBEN IV actualizada en la fase de demanda</t>
  </si>
  <si>
    <t>Oficina Administrativa y puntos de atención del Sistema de Identificación de Potenciales Beneficiarios de Programas Sociales - SISBEN IV mejorados</t>
  </si>
  <si>
    <t>Informes periódicos seguimiento de Inversión Pública</t>
  </si>
  <si>
    <t>Asistencias técnicas a entidades del Distrito elaboradas</t>
  </si>
  <si>
    <t>Soportes técnicos a usuarios en temas de proyectos de inversión elaborados</t>
  </si>
  <si>
    <t>Planes de Desarrollo Locales formulados y con seguimiento</t>
  </si>
  <si>
    <t>Estrategia de asistencia técnica para la formulación de los Planes de Desarrollo Estratégicos Comunales formulada</t>
  </si>
  <si>
    <t>Planes de Acción formulados y con seguimiento</t>
  </si>
  <si>
    <t>Proyectos estratégicos de ciudad formulados</t>
  </si>
  <si>
    <t>Políticas públicas formuladas y acompañadas en su evaluación y seguimiento</t>
  </si>
  <si>
    <t>Políticas públicas finalizadas en su formulación</t>
  </si>
  <si>
    <t>Estudios técnicos para la creación de nuevas localidades</t>
  </si>
  <si>
    <t>SECRETARÍA DE PLANEACIÓN - SECRETARÍA DEL INTERIOR Y CONVIVENCIA CIUDADANA</t>
  </si>
  <si>
    <t>Proyecto de acuerdo presentado al Concejo para la creación de localidades</t>
  </si>
  <si>
    <t>Asistencia tecnica y seguimiento a la ejecucion de los fondos de desarrollo local desarrolladas</t>
  </si>
  <si>
    <t>Instancias del Sistema Distrital de Planeación Participativa acompañadas con apoyo técnico, administrativo y logístico</t>
  </si>
  <si>
    <t>Sistema de Información catastral actualizad</t>
  </si>
  <si>
    <t>SECRETARÍA DE HACIENDA - SECRETARÍA DE PLANEACIÓN</t>
  </si>
  <si>
    <t>Plan de fortalecimiento para la prestación efectiva del servicio público de gestión catastral formulado</t>
  </si>
  <si>
    <t>Consejos Comunitarios y Organizaciones de Base de las Comunidades Negras, Afrocolombianas, Raizales y Palenqueras formados en temas de gobernabilidad</t>
  </si>
  <si>
    <t>Formar en temas de legislación, derechos humanos y el fortalecimiento organizacional a sesenta (60) Consejos Comunitarios y Organizaciones de Base de las Comunidades Negras, Afrocolombianas, Raizales y Palenqueras</t>
  </si>
  <si>
    <t xml:space="preserve">SECRETARÍA DEL INTERIOR Y CONVIVENCIA CIUDADANA - SECRETARÍA GENERAL - Oficina Asesora de Asuntos Étnicos
</t>
  </si>
  <si>
    <t>Número de funcionarios del Distrito formados en enfoque étnico</t>
  </si>
  <si>
    <t>Formar a quinientos (500) funcionarios de la Alcaldía Distrital entre ellos los operadores de justicia en enfoque étnico</t>
  </si>
  <si>
    <t>SECRETARÍA DEL INTERIOR Y CONVIVENCIA CIUDADANA - SECRETARÍA GENERAL - Oficina 
Asesora de 
Asuntos 
Étnicos</t>
  </si>
  <si>
    <t>Ruta y modelo de atención psicosocial para atención de situaciones de antirracismo y víctimas del racismo diseñada e implementada</t>
  </si>
  <si>
    <t>Diseñar e implementar una (1) ruta y modelo de atención psicosocial para atención de situaciones de antirracismo y víctimas del racismo</t>
  </si>
  <si>
    <t>Programa para participación ciudadana de las comunidades Negra, Afrocolombiana, Raizales y Palenquera en estrategia de Seguridad Humana creado e implementado</t>
  </si>
  <si>
    <t>Crear e implementar un (1) Programa para Participación Ciudadana de las Comunidades Negra, Afrocolombiana, Raizales y Palenquera, en la estrategia de Seguridad Humana</t>
  </si>
  <si>
    <t>Observatorio del Desarrollo de Comunidades Negras del Distrito creado e implementado</t>
  </si>
  <si>
    <t>Crear e implementar un (1) Observatorio del Desarrollo de Comunidades Negras del Distrito</t>
  </si>
  <si>
    <t>Número de Consejos Comunitarios con Resolución de Autoaceptación de titulación colectiva obtenida de comunidades negras del Distrito</t>
  </si>
  <si>
    <t>Obtener cuatro (4) Resoluciones de Autoaceptación de titulación colectiva de comunidades negras en el Distrito</t>
  </si>
  <si>
    <t>Consejos Comunitarios con solicitudes nuevas de Títulos Colectivos presentados ante la Agencia Nacional de Tierras</t>
  </si>
  <si>
    <t>Presentar seis (6) nuevas solicitudes nuevas de Títulos Colectivos ante la Agencia Nacional de Tierras</t>
  </si>
  <si>
    <t>Ruta de atención para víctimas del conflicto armado para comunidades Negras, Afrocolombiana, Raizal y Palenquera en los 33 Consejos Comunitarios de Cartagena implementada</t>
  </si>
  <si>
    <t>Implementar en los treinta y tres (33) Consejos Comunitarios del Distrito la ruta de atención de acuerdo con la reglamentación o normativa del conflicto (T- 025 2004, Decreto 4635 de 2011 y el auto 005 2009)</t>
  </si>
  <si>
    <t>Redes Étnicas Diferenciadas para adecuación sociocultural, de promoción y mantenimiento de salud conformadas</t>
  </si>
  <si>
    <t>Conformar cuatro (4) Redes Étnicas Diferenciadas (1 organización urbanas y 3 rurales con Consejos Comunitarios) para adecuación sociocultural de promoción y mantenimiento de salud</t>
  </si>
  <si>
    <t>Estrategia de apropiación social del conocimiento para la reducción de la incidencia de los factores toxicológicos y epidemiológicos de las comunidades negras del</t>
  </si>
  <si>
    <t>Diseñar e implementar una (1) estrategia de apropiación social del conocimiento para la reducción de la incidencia de los factores toxicológicos y epidemiológicos de las comunidades Negras del Distrito</t>
  </si>
  <si>
    <t>Torneos intercomunitarios de juegos tradicionales desarrollados</t>
  </si>
  <si>
    <t>Desarrollar cuatro (4) torneos intercomunitarios de juegos tradicionales, concertado con los Consejos Comunitarios (bate de tapita, bola de trapo, trompo, dominó, entre otros)</t>
  </si>
  <si>
    <t>Torneos de competencias del mar desarrollados con los Consejos Comunitarios</t>
  </si>
  <si>
    <t>Desarrollar cuatro (4) torneos de competencias del mar concertado con los Consejos Comunitarios (canotaje, competencia de atarrayas, pesca, tejidos, entre otros)</t>
  </si>
  <si>
    <t>Mesa de Expertos creada, implementada y con seguimiento de la implementación de la cátedra de estudios afroamericanos, transición de PEI a PEC e implementación de la resemantización en Instituciones Educativas Oficiales del Distrito</t>
  </si>
  <si>
    <t>Crear, implementar y hacer seguimiento a una (1) Mesa de Expertos para el seguimiento de la implementación de la cátedra de estudios afroamericanos, transición de PEI a PEC e implementación de la resemantización en Instituciones Educativas Oficiales del Distrito</t>
  </si>
  <si>
    <t>Becas inclusivas para estudiantes de comunidades negra, afrocolombiana, raizales y palenquera otorgadas</t>
  </si>
  <si>
    <t>Otorgar trescientas noventa y seis (396) becas inclusivas a estudiantes de los Consejos Comunitarios</t>
  </si>
  <si>
    <t>Subsidios para mejoramiento de vivienda otorgados a comunidades negra, afrocolombiana, raizales y palenqueras de los Consejos Comunitarios del Distrito</t>
  </si>
  <si>
    <t>Otorgar cuatrocientos cincuenta (450) subsidios para mejoramiento de vivienda focalizado en las comunidades negras, afrodescendientes, raizales y palenqueros del Distrito</t>
  </si>
  <si>
    <t>Espacios de participación promovidos de las comunidades negras, afro, raizales y palenqueras en procesos de elaboración de los instrumentos de planificación y macroproyectos de la ciudad</t>
  </si>
  <si>
    <t>Promover espacios de participación de las comunidades negras, afro, raizales y palenqueras en los cinco (5) procesos de elaboración de los instrumentos de planificación (POT, PEMP, Planes Parciales, macroproyectos)</t>
  </si>
  <si>
    <t>Programa de Monitoreo Comunitario de Restauración de Ecosistemas Marino - Costeros diseñado y operando</t>
  </si>
  <si>
    <t>Crear e implementar un (1) Programa de Monitoreo Comunitario de Restauración de Ecosistemas Marino-Costeros de los Consejos Comunitarios asentados en la zona marino costera y la Ciénaga de la Virgen</t>
  </si>
  <si>
    <t>Programa de Salvaguarda y Recuperación de los Bienes de Interés de Cultural de los Territorios negros, afrocolombiano, raizales y palenqueros creado e implementado</t>
  </si>
  <si>
    <t>Crear e implementar un (1) Programa de Salvaguarda y Recuperación de los Bienes de Interés de Cultural de los Territorios negros, afrocolombiano, raizales y palenqueros</t>
  </si>
  <si>
    <t>Estudio de viabilidad del transporte acuático con las comunidades en concordancia con el Artículo 40 de la Ley 70 de 1992 actualizado</t>
  </si>
  <si>
    <t>Actualizar un (1) estudio de viabilidad del transporte acuático con las comunidades negras, afrocolombiana, raizales y palenqueros</t>
  </si>
  <si>
    <t>Ecosistemas Empresariales para el cambio en las comunidades negras del Distrito de Cartagena: Aceleración de Impacto a través de creación de nuevos negocios desarrollado</t>
  </si>
  <si>
    <t>Desarrollar un (1) Ecosistema Empresarial para el cambio en las comunidades negras, afrocolombianas, raizal y palenquero del Distrito de Cartagena: Aceleración de Impacto a través de creación de nuevos negocios</t>
  </si>
  <si>
    <t>SECRETARÍA DE TURÍSMO SECRETARÍA DEL INTERIOR Y CONVIVENCIA CIUDADANA - Oficina Asesora de Asuntos Étnicos</t>
  </si>
  <si>
    <t>Espacios de participación promovidos de las comunidades negras, afro, raizales y palenqueras en la elaboración de la Política Pública de Lucha contra la Pobreza y Seguridad Alimentari</t>
  </si>
  <si>
    <t>Promover un (1) espacio de participación de las comunidades negras, afro, raizales y palenqueras en la elaboración de la Política Pública de Lucha contra la Pobreza y Seguridad Alimentaria</t>
  </si>
  <si>
    <t>SECRETARÍA GENERAL - Oficina Asesora de Asuntos Étnicos</t>
  </si>
  <si>
    <t>Seguimientos anuales desarrollados al trazador presupuestal para los recursos de inversión en territorios de comunidades negras</t>
  </si>
  <si>
    <t>Desarrollar cuatro (4) seguimientos anuales al trazador presupuestal para los recursos de inversión en territorios de comunidades negras</t>
  </si>
  <si>
    <t>Asistencia técnica brindada para la adquisición de hectáreas para la constitución de un Territorio Indígena que cobija los tres pueblos indígenas: ZENU, INGA, KANKUAMO</t>
  </si>
  <si>
    <t>Brindar asistencia técnica a cinco (5) cabildos indígenas para la adquisición de hectáreas para la constitución de un Territorio Indígena que cobija los tres pueblos indígenas: ZENÚ, INGA, KANKUAMO</t>
  </si>
  <si>
    <t>Lote para la reubicación de Cabildo Indígena CAIZEM asentado en Membrillal adquirido</t>
  </si>
  <si>
    <t>Adquirir un (1) lote para la reubicación de Cabildo indígena CAIZEM asentado en Membrillal</t>
  </si>
  <si>
    <t>Subsidios para mejoramiento de vivienda otorgados a miembros de los cabildos indígenas
ubicados en el Distrito</t>
  </si>
  <si>
    <t>Otorgar cuatrocientos cincuenta (450) de subsidios para mejoramiento de vivienda a miembros de los cabildos indígenas ubicados en el Distrito</t>
  </si>
  <si>
    <t>Cabildos indígenas asesorados en gobernanza y legislación indígena</t>
  </si>
  <si>
    <t>Asesorar a seis (6) cabildos indígenas en gobernanza y legislación indígena</t>
  </si>
  <si>
    <t>Planes de Vida de cabildos indígenas elaborados</t>
  </si>
  <si>
    <t>Elaborar los Planes de Vida de cinco (5) cabildos indígenas asentados en el Distrito de Cartagena (Zenú Zhandero, Zenu Bayunca, Zenu Pasacaballos, Kankuamo e Inga)</t>
  </si>
  <si>
    <t>Elementos patrimoniales y tecnológicos dotados a la Guardia Indígena Ancestral de los 6 cabildos como Sistema de Aplicación de Justicia al interior de las comunidades indígenas</t>
  </si>
  <si>
    <t>Dotar de elementos patrimoniales y tecnológicos a la Guardia Indígena Ancestral de los seis (6) cabildos como Sistema de Aplicación de Justicia al interior de las comunidades indígenas</t>
  </si>
  <si>
    <t>Espacio para la implementación del Centro de Estudio de Pensamiento Mayor Indígena-CEMI mantenido</t>
  </si>
  <si>
    <t>Mantener un (1) espacio para la implementación del Centro de Estudio de Pensamiento Mayor Indígena Intercultural-CEMI donde se permita el diálogo intercultural</t>
  </si>
  <si>
    <t>Ruta de atención para víctimas del conflicto armado de cabildos indígenas de Cartagena implementada</t>
  </si>
  <si>
    <t>Implementar en los seis (6) cabildos indígenas del Distrito la ruta de atención de acuerdo con la reglamentación o normativa del conflicto (T-025 del 2004, Decreto 4635 del 2011 y auto 005 del 2009)</t>
  </si>
  <si>
    <t>Cabildos Indígenas articulados con la ESE Hospital Local para la atención intercultural indígena de conformidad a los componentes del SISPI</t>
  </si>
  <si>
    <t>Articular con la ESE Hospital Local la atención intercultural indígena en seis (6) Cabildos Indígenas, de conformidad a los componentes del SISPI</t>
  </si>
  <si>
    <t>Programa de atención psicosocial y salud integral a víctimas implementado y mantenido anualmente</t>
  </si>
  <si>
    <t>Implementar y mantener anualmente un (1) programa de atención psicosocial y salud integral a víctimas en los 6 Cabildos Indígenas</t>
  </si>
  <si>
    <t>Niños, niñas y adolescentes indígenas vinculados en actividades lúdicas extramurales y del ejercicio del derecho al juego</t>
  </si>
  <si>
    <t>Vincular a quinientos (500) niños, niñas y adolescentes indígenas en actividades lúdicas extramurales y del ejercicio del derecho al juego</t>
  </si>
  <si>
    <t>Torneos de juegos ancestrales y convencionales indígenas realizados en los seis cabildos indígenas asentados en el Distrito desarrollados</t>
  </si>
  <si>
    <t>Desarrollar cuatro (4) torneos de juegos ancestrales y convencionales indígenas en los seis Cabildos Indígenas asentados en el Distrito</t>
  </si>
  <si>
    <t>Programa de protección, divulgación, preservación y salvaguarda de las prácticas, costumbres y saberes ancestrales de los pueblos originarios de los 6 cabildos indígenas presentes en el Distrito creado e implementado</t>
  </si>
  <si>
    <t>Crear e implementar un (1) programa de protección, divulgación, preservación y salvaguarda de las prácticas, costumbres y saberes ancestrales de los pueblos originarios de los 6 Cabildos Indígenas presentes en el Distrito</t>
  </si>
  <si>
    <t>Becas inclusivas para estudiantes de los cabildos indígenas asentados en el Distrito</t>
  </si>
  <si>
    <t>Otorgar sesenta (60) becas inclusivas para estudiantes de los cabildos indígenas</t>
  </si>
  <si>
    <t>Emprendimiento s de mujeres indígenas distribuidas en los 6 cabildos del Distrito financiados</t>
  </si>
  <si>
    <t>Financiar sesenta (60) emprendimientos de mujeres indígenas distribuidas en los 6 Cabildos del Distrito</t>
  </si>
  <si>
    <t>Unidades productivas en cabildos indígenas con asistencias técnicas y apoyo financiero</t>
  </si>
  <si>
    <t>Brindar asistencia técnica y apoyo financiero a doscientas (200) unidades productivas de los Cabildos Indígenas presentes en el Distrito</t>
  </si>
  <si>
    <t>PES</t>
  </si>
  <si>
    <t>torgados en el Laboratorio Cultural de Mercados Sectoriales a unidades productivas de las comunidades indígenas</t>
  </si>
  <si>
    <t>Otorgar ocho (8) espacios a unidades productivas de comunidades indígenas en el Laboratorio Cultural de los Mercados Sectoriales como mecanismo de generación de ingresos</t>
  </si>
  <si>
    <t>Mujeres indígenas atendidas en el fortalecimiento de las actividades propias</t>
  </si>
  <si>
    <t>Atender a cien (100) mujeres indígenas en el fortalecimiento de sus actividades propias</t>
  </si>
  <si>
    <t>Unidad Municipal de Asistencia Técnica Agropecuaria</t>
  </si>
  <si>
    <t>Mujeres indígenas atendidas con servicios de extensión agropecuaria</t>
  </si>
  <si>
    <t>Atender a cien (100) mujeres indígenas con servicios de extensión agropecuaria</t>
  </si>
  <si>
    <t>PORCENTAJE  ALCANZADO DICIEMBRE  RESPECTO A LO PROGRAMADO 2024</t>
  </si>
  <si>
    <t xml:space="preserve">LOGRO ALCANZADO DICIEMBRE RESPECTO AL CUATRIENIO  </t>
  </si>
  <si>
    <t xml:space="preserve">PONDERADOR </t>
  </si>
  <si>
    <t>AVANCE  VIGENCIA 2024 CUARTO TRIMESTRE RESPECTO A PROGRAMADO CUATRIENIO (ACUMULADO AÑO 2024)</t>
  </si>
  <si>
    <t>AVANCE RESPECTO AL PROGRAMADO VIGENCIA  2024  CUARTO TRIMESTRE (ACUMULADO AÑO 2024)</t>
  </si>
  <si>
    <t xml:space="preserve">Implementar cuatrocientos cuarenta  (440) sistemas de información para la seguridad (alarmas comunitarias, drones, totem) 
</t>
  </si>
  <si>
    <t>PONDERADOR LINEA ESTRATEGICA</t>
  </si>
  <si>
    <t>Racionalizar cuarenta (40)  nuevos trámites y/o procesos administrativos </t>
  </si>
  <si>
    <t>Crear un (1) Centro Integral de Atención Ciudadano (CIAC)</t>
  </si>
  <si>
    <t>Optimizar tres (3) ventanillas de atención ciudadana en su funcionamiento</t>
  </si>
  <si>
    <t>Implementar una (1) estrategia de acceso para respuesta a transparencia activa y pasiva, los instrumentos de gestión de la información con criterios de accesibilidad</t>
  </si>
  <si>
    <t>Desarrollar ocho (8) rendiciones públicas de cuentas a la ciudadanía</t>
  </si>
  <si>
    <t>Formar a tres mil (3.000) personas en el uso de Tecnologías de Información y Comunicaciones (TIC)</t>
  </si>
  <si>
    <t>Actualizar seis (6) sistemas de información de la entidad</t>
  </si>
  <si>
    <t>Implementar seis (6) nuevos sistemas de información institucionales</t>
  </si>
  <si>
    <t>Instalar treinta y dos (32) nuevas zonas Wi-Fi y mantener las 18 actuales</t>
  </si>
  <si>
    <t>Implementar una (1) estrategia para la simplificación de procesos</t>
  </si>
  <si>
    <t>Crear e implementar una (1) estrategia para la gestión del conocimiento y la innovación</t>
  </si>
  <si>
    <t>Implementar tres (3) herramientas tecnológicas para el uso, apropiación y fortalecimiento institucional implementadas</t>
  </si>
  <si>
    <t>Implementar cuatro (4) documentos de diagnóstico e implementación del Modelo Integrado de Planeación y Gestión – MIPG</t>
  </si>
  <si>
    <t>Elaborar e implementar cuatro (4) agendas regulatorias</t>
  </si>
  <si>
    <t>Implementar cuatro (4) procesos de depuración normativa</t>
  </si>
  <si>
    <t>Actualizar diez mil seiscientos treinta y cinco (10.635) predios del inventario de bienes inmuebles pertenecientes al Distrito</t>
  </si>
  <si>
    <t>Intervenir seiscientos (600) bienes inmuebles y predios del Distrito</t>
  </si>
  <si>
    <t>Actualizar un (1) inventario de bienes muebles pertenecientes al Distrito</t>
  </si>
  <si>
    <t>Implementar cinco (5) fases del proceso de rediseño organizacional (Acuerdo Inicial, Diagnóstico, Diseño, Implementación, Supresión y/o liquidación)</t>
  </si>
  <si>
    <t>Implementar (1) Un Plan Estratégico  de Tratamiento de Riesgo de Seguridad y Privacidad de la Información.</t>
  </si>
  <si>
    <t>Implementar (1) Un Plan Estratégico  de Seguridad y Privacidad de la información.</t>
  </si>
  <si>
    <t>Implementar un (1) Cloud Data Center para la protección y seguridad de la información en el Distrito de Cartagena</t>
  </si>
  <si>
    <t>Implementar cinco (5) servicios de gestión documental</t>
  </si>
  <si>
    <t>Implementar dos (2) servicios de sistemas de gestión</t>
  </si>
  <si>
    <t>Implementar un (1) Sistema de Gestión de Archivos Electrónicos – SGDEA en sus 5 fases: (Planeación, análisis, diseño, implementación y evaluacion, monitoreo y control)</t>
  </si>
  <si>
    <t>Diseñar e implementar un (1) Plan de Formación sobre el Sistema de Control Interno y Control Interno Contable</t>
  </si>
  <si>
    <t>Implementar un (1) Software de Auditoría Basada en Riesgos para procesos y sistemas de información</t>
  </si>
  <si>
    <t>Dotar tres (3) sedes del DATT con logística para mejorar la gestión administrativa y operativa en la prestación del servicio</t>
  </si>
  <si>
    <t>Diseñar un (1) portafolio virtual para oferta de trámites y servicios</t>
  </si>
  <si>
    <t>Recuperar ciento diecisiete mil dos ($ 117.002) millones de pesos de la cartera del DATT</t>
  </si>
  <si>
    <t>Instalar en treinta (30) puntos de la ciudad con sistema de monitoreo, control y fiscalización electrónica del tránsito</t>
  </si>
  <si>
    <t>Recaudar $1.727.905.000.000 pesos por impuesto predial unificado</t>
  </si>
  <si>
    <t>Recaudar $2.912.805.184.493 pesos por Impuesto de Industria y Comercio y complementarios</t>
  </si>
  <si>
    <t>Recaudar 34.797.802.428 de Impuesto delineación urbana en el cuatrienio</t>
  </si>
  <si>
    <t>Recaudar 238.874.034.451 de Sobretasa a la gasolina en el cuatrienio</t>
  </si>
  <si>
    <t>Implementar un (1) proyecto de modernización integral en la Secretaría de Hacienda</t>
  </si>
  <si>
    <t>Formar y cualificar dos mil ciento noventa y ocho (2.198) servidores públicos y contratistas del Distrito en enfoques diferenciales</t>
  </si>
  <si>
    <t>Crear e implementar cuatro (4) estrategias de formación en cultura tributaria dirigidas a servidores públicos y contratistas del Distrito</t>
  </si>
  <si>
    <t>Desarrollar ochenta (80) procesos de formación a ciudadanos</t>
  </si>
  <si>
    <t>Desarrollar veinte (20) procesos de formación a ciudadanos pertenecientes a grupos étnicos</t>
  </si>
  <si>
    <t>Elaborar dieciséis (16) mesas de planeación y participación dirigidas a distintos grupos de población con enfoque inclusivo, diferencial y territorial</t>
  </si>
  <si>
    <t>Desarrollar cuarenta (40) procesos de formación con enfoque inclusivo, diferencial y territorial</t>
  </si>
  <si>
    <t>Implementar cuatro (4) estrategias pedagógicas para promover el orgullo y el sentido de pertenencia por la ciudad</t>
  </si>
  <si>
    <t>Implementar ciento treina y ocho (138) iniciativas de cultura ciudadana</t>
  </si>
  <si>
    <t>Implementar ocho (8) estrategias pedagógicas para fortalecer la cultura vial y el adecuado uso del Sistema Integrado de Transporte Masivo</t>
  </si>
  <si>
    <t>Implementar cuatro (4) estrategias de promocion de practicas para el cuidado y el desarrollo integral del ser humano</t>
  </si>
  <si>
    <t>Implementar cuatro (4) estartegias para fomentar el respeto y la prevencion del maltrato contra la mujer</t>
  </si>
  <si>
    <t>Realizar doce (12) mesas de gobernanza para el seguimiento a indicadores de ciudad</t>
  </si>
  <si>
    <t>Desarrollar cuatro (4) procesos de formación en gobernanza e innovación pública</t>
  </si>
  <si>
    <t>Asesorar y acompañar doscientos nueve (209) organismos de acción comunal para el trámite exitoso de su Registro Único Tributario (RUT) ante la DIAN</t>
  </si>
  <si>
    <t>Asesorar y acompañar trescientos veintiocho (328) organismos de accion comunal asesorados y acompañados para eñ tramite exitoso de su registro unico comunal (RUC)</t>
  </si>
  <si>
    <t>Asesorar y acompañar cuatrocientos dos (402) rganismos de accion comunal en procesos de actualizacion estatutaria</t>
  </si>
  <si>
    <t>Crear e implementar una (1) Guia Metodologica para la formulacion de planes de desarrollo estrategicos comunales PDEC</t>
  </si>
  <si>
    <t>Diseñar una (1) ruta para garantizar la proteccion y acompañamiento de lideres y lideresas sociales, dignatarios y/o afiliados a organismos comunales de la ciudad en situacion de riesgo</t>
  </si>
  <si>
    <t>Crear y poner en funcionamiento una (1) Plataforma web de seguimiento a procesos y procedimientos de organismos comunales y organinazciones sociales de base</t>
  </si>
  <si>
    <t>Financiar trescientas (300) obras de interes comunitario con organismos de acción comunal a través de convenios solidarios</t>
  </si>
  <si>
    <t>Dotar y/o adecuar cien (100) sedes comunales en el Distrit</t>
  </si>
  <si>
    <t>Construir tres (3) sedes comunales en el Distrito</t>
  </si>
  <si>
    <t>Crear un (1) banco de proyectos de iniciativas comunales y comunitarias</t>
  </si>
  <si>
    <t>Desarrollar doscientas (200) actividades de cambio y transformación del entorno con organismos de acción comunal y la cuadrilla comunal</t>
  </si>
  <si>
    <t>Crear un (1) fondo de financiamiento y apalancamiento para la ejecución de iniciativas y proyectos de organizaciones comunales, comunitarias y/o sociales de base</t>
  </si>
  <si>
    <t>Invertir seis mil millones de pesos ($6.000.000.000) pesos para presupuestos participativos por año</t>
  </si>
  <si>
    <t>Vincular a cincuenta mil (50.000) ciudadanos a procesos de construcción de instrumentos de gestión y de políticas públicas</t>
  </si>
  <si>
    <t>Crear cuatro (4) campañas para la promoción de la participación ciudadana</t>
  </si>
  <si>
    <t>Desarrollar veinte (20) encuentros comunales y/o comunitarios de intercambio de experiencias, construcción de ciudad y promoción de la participación ciudadana</t>
  </si>
  <si>
    <t>Certificar mil quinientos (1.500) afiliados y afiliadas a organismos comunales del Distrito bajo la metodología del programa Formador de Formadores para la Acción Comunal</t>
  </si>
  <si>
    <t>Conformar un (1) voluntariado juvenil distrital</t>
  </si>
  <si>
    <t>Crear una (1) escuela de formación en liderazgo juvenil</t>
  </si>
  <si>
    <t>Vincular ocho mil (8.000) jóvenes en programas de formación sociopolítica y habilidades para la vida</t>
  </si>
  <si>
    <t>Implementar cuatro (4) programas (uno por año) para el fortalecimiento de los derechos de la Juventud</t>
  </si>
  <si>
    <t>Acompañar con apoyo técnico, administrativo y logístico al Consejo Distrital de Juventud y Plataforma de Juventudes</t>
  </si>
  <si>
    <t>Crear un (1) Consejo Consultivo de Mujeres y Equidad de Género</t>
  </si>
  <si>
    <t>Formar a tres mil (3.000) mujeres para la participación sociopolítica, liderazgo e incidencia política en el Distrito</t>
  </si>
  <si>
    <t>Diseñar, construir y dotar una (1) Casa de la Mujer para su operación y/o funcionamiento</t>
  </si>
  <si>
    <t>Elaborar cuatro (4) estudios socioeconómicos y poblacionales</t>
  </si>
  <si>
    <t>Elaborar seis (6) estudios de focalización territorial de beneficiarios de Programas Sociales</t>
  </si>
  <si>
    <t>Desarrollar seis (6) productos de generación de nuevo conocimiento</t>
  </si>
  <si>
    <t>Desarrollar diez (10) actividades científicas de apropiación social del conocimiento</t>
  </si>
  <si>
    <t>Desarrollar una (1) Encuesta Multipropósito</t>
  </si>
  <si>
    <t>Actualizar y optimizar un (1) Mapa Interactivo de Asuntos del Suelo - MIDAS</t>
  </si>
  <si>
    <t>Crear e implementar un (1) Sistema de Información Geográfico y Estadístico Distrital potenciado con infraestructura de datos espaciales</t>
  </si>
  <si>
    <t>Mantener actualizada una (1) base de datos de estratificación del Distrito</t>
  </si>
  <si>
    <t>Implementar una (1) Política de Gestión Estadística en el marco de MIPG</t>
  </si>
  <si>
    <t>Mantener actualizada una (1) base de datos del SISBEN IV en la fase de demanda</t>
  </si>
  <si>
    <t>Mejorar una (1) Oficina Administrativa y diez (10) puntos de atención del SISBEN IV</t>
  </si>
  <si>
    <t>Elaborar dieciséis (16) informes periódicos seguimiento de inversión pública</t>
  </si>
  <si>
    <t>Elaborar noventa y dos (92) asistencias técnicas entidades del Distrito</t>
  </si>
  <si>
    <t>Elaborar mil quinientos (1.500) soportes técnicos a usuarios en temas de proyectos de inversión</t>
  </si>
  <si>
    <t>Formular y hacer seguimiento a los Planes de Desarrollo Local</t>
  </si>
  <si>
    <t>Formular una (1) estrategia de asistencia técnica para la formulación de los Planes de Desarrollo Estratégicos Comunales</t>
  </si>
  <si>
    <t>Formular y hacer seguimiento a veintiun (21) Planes de Acción</t>
  </si>
  <si>
    <t>Formular en sus tres fases siete (7) proyectos estratégicos de ciudad</t>
  </si>
  <si>
    <t>Formular y acompañar en su evaluación y seguimiento a nueve (9) políticas públicas</t>
  </si>
  <si>
    <t>Finalizar la formulación y acompañar en la evaluación y seguimiento a tres (3) políticas públicas</t>
  </si>
  <si>
    <t>Elaborar un (1) estudio técnico para la creación de nuevas localidades</t>
  </si>
  <si>
    <t>Presentar un (1) proyecto de acuerdo al Concejo para la creación de dos localidades</t>
  </si>
  <si>
    <t>Desarrollar Asistencia tecnica y seguimiento a la ejecucion de los fondos de desarrollo local</t>
  </si>
  <si>
    <t>Acompañar con apoyo técnico, administrativo y logístico anualmente a cinco (5) instancias de planeación (Consejo Territorial de Planeación, el Consejo Consultivo de Ordenamiento Territorial y el Consejo de Participación Ciudadana)</t>
  </si>
  <si>
    <t>Implementar una (1) operación del servicio público de catastro multipropósito</t>
  </si>
  <si>
    <t>Formular un (1) plan de fortalecimiento para la prestación efectiva del servicio público de gestión catastral</t>
  </si>
  <si>
    <t>Revisar, actualizar y ajustar un (1) Plan de Ordenamiento Territorial para presentarlo ante el Concejo para su adopción</t>
  </si>
  <si>
    <t>Revisar, actualizar y ajustar un (1) Plan Especial de Manejo y Protección del Centro Histórico y su área de influencia para presentarlo ante el Ministerio de Cultura para su adopción</t>
  </si>
  <si>
    <t>Formular una (1) Actuación Urbana Integral A.U.I -12 / Recuperación Integral del Cerro de la Popa</t>
  </si>
  <si>
    <t>Formular una (1) Actuación Urbana Integral A.U.I -13 / Recuperación Integral del Cerro de Albornoz – Cospique</t>
  </si>
  <si>
    <t>Formular una (1) nueva Actuación Urbana Integral A.U.I / Desarrollo de un Plan Parcial de mejoramiento de vivienda con un proyecto multipropósito de espacios públicos y mixtos para el mejoramiento del hábitat de los asentamientos de Nelson y Villa Hermosa</t>
  </si>
  <si>
    <t>Formular dos (2) Planes: un (1) Plan Maestro de Servicios Urbanos e Institucionales al ciudadano, y un (1) Plan Maestro de Equipamientos Colectivos y Hábitat</t>
  </si>
  <si>
    <t>Formular un (1) Plan Local Portuario, articulado a los instrumentos de planeación territorial y a la Política Pública Nacional Portuaria</t>
  </si>
  <si>
    <t>Reformular, adoptar y dar seguimiento a un (1) Plan Parcial de Renovación Urbana de Bazurto</t>
  </si>
  <si>
    <t>Adoptar dos (2) Planes Parciales en suelo de expansión de los Centros Poblados de Bayunca y Pasacaballos</t>
  </si>
  <si>
    <t>Reformular, adoptar y dar seguimiento a un (1) Plan Parcial del Sector Policarpa, Arroz Barato y Puerta de Hierro</t>
  </si>
  <si>
    <t>Reformular, adoptar y dar seguimiento a un (1) Plan Parcial de Reordenamiento de las Lomas del Marión y Zaragocilla</t>
  </si>
  <si>
    <t>Tramitar la totalidad de los proyectos de legalización urbanística presentados a la administración distrital</t>
  </si>
  <si>
    <t>Diseñar y ejecutar un (1) Plan Estratégico para el traslado de Marlinda y Villa Gloria</t>
  </si>
  <si>
    <t>Formular y ejecutar diez (10) Planes de Mejoramiento Integral de Centros Poblados (Arroyo Grande, Arroyo de las Canoas, Punta Canoas, Manzanillo, Puerto Rey, Tierrabaja, Pontezuela, Membrillal, Leticia y Recreo)</t>
  </si>
  <si>
    <t>Diseñar cuatro (4) lineamientos técnicos y pedagógicos para garantizar el derecho a la ciudad de niñas y mujeres en el entorno urbano</t>
  </si>
  <si>
    <t>Formular un (1) Plan Estratégico Prospectivo Cartagena 2050</t>
  </si>
  <si>
    <t>Recuperar y mantener ciento ochenta y cinco mil (185.000) metros cuadrados de espacios públicos</t>
  </si>
  <si>
    <t>Habilitar once mil (11.000) metros cuadrados de espacio público nuevos para el aprovechamiento económico</t>
  </si>
  <si>
    <t>Presentar doscientas (200) querellas para la recuperación del espacio público</t>
  </si>
  <si>
    <t>Formular una (1) Política Pública de Legalización de Asentamientos Humanos y del Control Urbano</t>
  </si>
  <si>
    <t>Formular y presentar dos (2) documentos de planeación para la implementación de la curaduría pública y de nuevas curadurías urbanas</t>
  </si>
  <si>
    <t>Formular un (1) estudio para dar viabilidad para la creación de nuevas curadurías urbanas</t>
  </si>
  <si>
    <t>Elaborar ocho (8) obras de demolición derivadas de fallos, sentencias y sanciones</t>
  </si>
  <si>
    <t>Conformar un (1) equipo de reacción inmediata para la reducción, intervención y control de invasiones ilegales</t>
  </si>
  <si>
    <t>Certificar dos mil ochocientos (2.800) defensores urbanos barriales en normas urbanísticas</t>
  </si>
  <si>
    <t>Especializar y dotar siete (6) sedes de inspecciones en temas urbanísticos con herramientas tecnológicas</t>
  </si>
  <si>
    <t>Generar seiscientos (600) documentos normativos</t>
  </si>
  <si>
    <t>Desarrollar doce (12) actividades por año para promover la protección y bienestar animal en sectores turísticos</t>
  </si>
  <si>
    <t>Atender a veinte mil (20.000) animales por año en jornadas de salud, prevención y protección animal</t>
  </si>
  <si>
    <t>Estandarizar tres (3) protocolos para la atención a animales domésticos y silvestres</t>
  </si>
  <si>
    <t>Censar cien mil (100.000) animales domésticos</t>
  </si>
  <si>
    <t>Crear tres (3) módulos o aplicativos funcionales de software integrados en una plataforma web de acceso abierto</t>
  </si>
  <si>
    <t>Crear y poner en operación un (1) Centro de Bienestar Animal del Distrito</t>
  </si>
  <si>
    <t>Dotar tres (3) unidades móviles de atención veterinaria</t>
  </si>
  <si>
    <t>Plantar trescientos mil (300.000) árboles en el Distrito de Cartagena</t>
  </si>
  <si>
    <t>Restaurar ocho (8) hectáreas de áreas degradadas</t>
  </si>
  <si>
    <t>Construir y dotar un (1) Centro de Atención y Valoración de Fauna Silvestre nuevo</t>
  </si>
  <si>
    <t>Crear y poner en funcionamiento un (1) Centro Inteligente para el Monitoreo Ambiental de Cartagena</t>
  </si>
  <si>
    <t>Implementar dos (2) estaciones de monitoreo de la calidad del aire</t>
  </si>
  <si>
    <t>Elaborar cuatro (4) documentos de investigación para la gestión de la información y el conocimiento ambiental</t>
  </si>
  <si>
    <t>Formular una (1) Política Pública de Educación Ambiental</t>
  </si>
  <si>
    <t>Diseñar diez mil (10.000) metros lineales de senderos peatonales</t>
  </si>
  <si>
    <t>Diseñar y construir seis (6) megaproyectos de parques con criterios de adaptación al cambio climático</t>
  </si>
  <si>
    <t>Elaborar seis (6) documentos de lineamientos técnicos para determinantes ambientales</t>
  </si>
  <si>
    <t>Actualizar e implementar un (1) Plan 4C: Cartagena Competitiva y Compatible con el Clima</t>
  </si>
  <si>
    <t>Actualizar y adoptar un (1) Plan Distrital de Gestión de Riesgo</t>
  </si>
  <si>
    <t>Mantener actualizado un (1) Sistema de informacion de conocimiento del riesgo</t>
  </si>
  <si>
    <t>Llevar a ciento ocho (108) el número de inventarios de asentamientos en zonas de alto riesgo elaborados</t>
  </si>
  <si>
    <t>Implementar un (1) sistema de comunicación de gestión del riesgo con todos los actores que integran la gestión de riesgo del Distrito</t>
  </si>
  <si>
    <t>Coordinar veintitrés (23) acciones para mitigación y atención de desastres</t>
  </si>
  <si>
    <t>Formar ciento treinta y dos (132) organizaciones comunitarias en prevención y gestión de los riesgos</t>
  </si>
  <si>
    <t>Desarrollar tres (3) Acciones de protección de laderas para reducción del riesgo en el Cerro Lefran, Cerro la Popa y Cerro de Albornoz</t>
  </si>
  <si>
    <t>Actualizar y adoptar una (1) Estrategia de Respuesta a Emergencias del Distrito de Cartagena</t>
  </si>
  <si>
    <t>Atender dos mil (2.000) emergencias de riesgo que se presenten en el Distrito</t>
  </si>
  <si>
    <t>Entregar mil cuatrocientos cincuenta (1.450) beneficios económicos a familias afectadas en los distintos eventos manejados por la Oficina Asesora para la Gestión de Riesgo de Desastres</t>
  </si>
  <si>
    <t>Construir siete (7) km de protección costera para llegar a los 13.2 km</t>
  </si>
  <si>
    <t>Formular e implementar un (1) Plan Integral de Parques y Zonas Verdes</t>
  </si>
  <si>
    <t>Mejorar cinco (5) kilómetros de orillas para uso recreativo en caños, lagos y lagunas</t>
  </si>
  <si>
    <t>Formular e implementar un (1) Plan Especial de Movilidad y Peatonalización del Centro Histórico</t>
  </si>
  <si>
    <t>Mejorar catorce mil (14.000) metros lineales de andenes y bordillos del Centro Histórico</t>
  </si>
  <si>
    <t>Mejorar quince (15) plazas, parques y plazoletas del Centro Histórico</t>
  </si>
  <si>
    <t>Elaborar un (1) Estudio de Capacidad de Carga del Espacio Público Patrimonial</t>
  </si>
  <si>
    <t>Elaborar un (1) Estudio y dar lineamientos técnicos de las nuevas Tipologías Arquitectónicas del Centro Histórico</t>
  </si>
  <si>
    <t>Elaborar una (1) Cartilla del Espacio Público Patrimonial</t>
  </si>
  <si>
    <t>Recuperar y mantener dos parques: (parque Espíritu del Manglar y Parque del Centenario).</t>
  </si>
  <si>
    <t>Rehabilitar cuatro (4) espacios públicos que comunican el Centro Histórico y Castillo de San Felipe</t>
  </si>
  <si>
    <t>Adecuar tres (3) zonas del espacio público para la recreación y el deporte en el paisaje fortificado</t>
  </si>
  <si>
    <t>Construir dos (2) enlaces peatonales de cordon amurallado</t>
  </si>
  <si>
    <t>Desarrollar dieciséis (16) actividades para la apropiación colectiva del patrimonio y la gobernanza territorial</t>
  </si>
  <si>
    <t>Construir diez (10) obras para la competitividad distintas a vías</t>
  </si>
  <si>
    <t>Rehabilitar sesenta (60) km/carril de la malla vial</t>
  </si>
  <si>
    <t>Construir cuatro (4) km/carril de malla vial</t>
  </si>
  <si>
    <t>Construir tres (3) puentes nuevos en la ciudad</t>
  </si>
  <si>
    <t>Construir un (1) corredor vial de la troncal del sur</t>
  </si>
  <si>
    <t>Construir dos (2) kilómetros de vías urbanas por contribución de Valorización.</t>
  </si>
  <si>
    <t>Construir diez (10) kilómetros de vías rurales</t>
  </si>
  <si>
    <t>Construir diez mil (10.000) metros cuadrados de andenes y/o áreas peatonales</t>
  </si>
  <si>
    <t>Instalar dos mil doscientos ochenta y nueve (2.289) señales verticales</t>
  </si>
  <si>
    <t>Diseñar y demarcar veinte (20) kilómetros de ciclorutas</t>
  </si>
  <si>
    <t>Ampliar una (1) red semafórica de la ciudad</t>
  </si>
  <si>
    <t>Actualizar y normalizar catorce (14) rutas del Transporte Público Colectivo</t>
  </si>
  <si>
    <t>Erradicar diez (10) estaciones de transporte informal</t>
  </si>
  <si>
    <t>Intervenir y mejorar dieciocho (18) puntos críticos de movilidad</t>
  </si>
  <si>
    <t>Diseñar y demarcar Veinte (20) zonas de estacionamiento regulado (ZER)</t>
  </si>
  <si>
    <t>Sustituir ciento diecinueve (119) vehículos de tracción animal dedicados al transporte de cargas livianas</t>
  </si>
  <si>
    <t>Sustituir sesenta (60) vehículos de tracción animal dedicados al servicio turístico</t>
  </si>
  <si>
    <t>Elaborar una (1) caracterización socioeconómica de mototrabajadores</t>
  </si>
  <si>
    <t>Renovar dieciocho (18) estaciones del sistema</t>
  </si>
  <si>
    <t>Renovar un (1) Patio Portal</t>
  </si>
  <si>
    <t>Renovar un (1) carril de solobus</t>
  </si>
  <si>
    <t>Implementar un (1) servicio de seguridad ciudadana en el Sistema Integrado de Transporte Masivo</t>
  </si>
  <si>
    <t>Renovar cuatrocientos ochenta y dos (482) paraderos</t>
  </si>
  <si>
    <t>Modernizar un (1) sistema de recaudo, gestión de flota, información al usuario</t>
  </si>
  <si>
    <t>Implementar veinticinco (25) estrategias para la promoción de la cultura ciudadana y el uso del sistema</t>
  </si>
  <si>
    <t>Diseñar tres (3) estudios técnicos para la evaluación de operación de flota eléctrica, transporte acuático, transporte por cable aéreo</t>
  </si>
  <si>
    <t>Ejecutar tres (3) fases del proyecto de transporte acuático</t>
  </si>
  <si>
    <t>Construir o recuperar diez (10) embarcaderos para el transporte acuático</t>
  </si>
  <si>
    <t>Elaborar estudio para la implementación de la tarifa diferencial en el Sistema</t>
  </si>
  <si>
    <t>Implementar una (1) estrategia para la lucha contra el acoso en el Sistema Integrado de Transporte Masivo</t>
  </si>
  <si>
    <t>Movilizar ciento treinta y siete millones trescientos dos mil novecientos noventa y ocho (137.302.998) pasajeros en el cuatrienio</t>
  </si>
  <si>
    <t>Recuperar cuarenta (40) hectáreas de manglares</t>
  </si>
  <si>
    <t>Extraer ciento cuarenta mil (140.000) metros cúbicos de sedimentos en la Bocana y laguna de Chambacú</t>
  </si>
  <si>
    <t>Formular un (1) estudios de prefactibilidad para la implementación de laboratorio interactivo en un sector del caño Juan Angola</t>
  </si>
  <si>
    <t>Diseñar diez (10) kilómetros de canales.</t>
  </si>
  <si>
    <t>Construir un (1) km de canales.</t>
  </si>
  <si>
    <t>Retirar cien mil (100.000) m3 de material de limpieza en el cuatrienio.</t>
  </si>
  <si>
    <t>Recuperar diez (10) km de bordes de costa de cuerpos de agua</t>
  </si>
  <si>
    <t>Elaborar un (1) documento de acotamiento y priorización de ronda hídrica</t>
  </si>
  <si>
    <t>Recuperar una (1) ronda hídrica priorizada a través del documento de acotamiento</t>
  </si>
  <si>
    <t>Formular, adoptar y hacer seguimiento a un (1) Plan Parcial de Chambacú, Torices, La Unión</t>
  </si>
  <si>
    <t>Formular un (1) Plan Maestro de Caños, Laguna y Ciénagas interiores de la Ciudad y la Bahía de Cartagena</t>
  </si>
  <si>
    <t>Recuperar diez (10) afluentes principales que derivan en la Ciénaga de la Virgen</t>
  </si>
  <si>
    <t>Desarrollar veinte (20) campañas de educación ambiental sobre conservación y protección del espacio verde  para habitantes de zonas aledañas a la Ciénaga de la Virgen</t>
  </si>
  <si>
    <t>Desarrollar dos (2) proyectos de mejoramiento del Sistema Estabilizadora de Mareas</t>
  </si>
  <si>
    <t>Formular e implementar un (1) Plan de Gestión Social y Ambiental de la Ciénaga de la Virgen</t>
  </si>
  <si>
    <t>Formular un (1) estudio y diseño de fase III (factibilidad) para la construcción de la Vía Perimetral</t>
  </si>
  <si>
    <t>Formular y adoptar tres (3) Planes Parciales de Renovación Urbana: R4, R7 y R8</t>
  </si>
  <si>
    <t>Formular un (1) Plan de Mejoramiento Integral de la Boquilla</t>
  </si>
  <si>
    <t>Elaborar estudios detallados de amenaza y riesgo para los territorios delimitados en los Planes Parciales R1, R2, R3, R5 y R6</t>
  </si>
  <si>
    <t>Formular una (1) Operación Territorial – O.T-5 / Frente Costero y Protección de Playas</t>
  </si>
  <si>
    <t>Formular una (1) Operación Territorial – O.T-6 / Bahía de Cartagena – Canal del Dique</t>
  </si>
  <si>
    <t>Formular una (1) Operación Territorial – O.T 12 / Zona Insular</t>
  </si>
  <si>
    <t>Formular y ejecutar los Planes de Mejoramiento Integral de los Centros Poblados insulares de Bocachica, Caño del Oro, Punta Arena, Tierrabomba, Barú, Isla Grande, Santa Cruz del Islote, e Isla Fuerte</t>
  </si>
  <si>
    <t>Diseñar (1) Cartilla de Tipologías de Vivienda Insular o Costera adaptada a los eventos de cambio climático</t>
  </si>
  <si>
    <t>Implementar dos (2) proyectos estratégicos para el mantenimiento de los cuerpos de agua de la ciudad (Borde Social Ambiental Caño Juan Angola y Parque Pescadores de la Bocana)</t>
  </si>
  <si>
    <t>Formular en fase de prefactibilidad cuatro (4) proyectos estratégicos para el mantenimiento de los cuerpos de agua de la ciudad (Restauración ecosocial de cuenca Arroyo Matute, Zona de los canales, Zona de los arroyos, Zona de Caños y Lagos)</t>
  </si>
  <si>
    <t>Elaborar un (1) estudio de clúster para la competitividad regional</t>
  </si>
  <si>
    <t>Diseñar una (1) iniciativa regional de infraestructura de transporte abastecimiento y logística</t>
  </si>
  <si>
    <t>Desarrollar un (1) Servicio de protección del recurso hídrico para Promover inversiones supramunicipales</t>
  </si>
  <si>
    <t>Actualizar un (1) Plan Regional de Competitividad</t>
  </si>
  <si>
    <t>Implementar cuatro (4) acciones que fortalezcan el mejoramiento del clima de negocios</t>
  </si>
  <si>
    <t>Ejecutar cuatro (8) estrategias de acompañamiento de iniciativas clúster y apuestas productivas promisorias</t>
  </si>
  <si>
    <t xml:space="preserve">Beneficiar a mil (1.000)
personas a través del diseño y ejecución de 4 planes de fomento de la cultura de la innovación
</t>
  </si>
  <si>
    <t>Actualizar un (1) Sistema Distrital de Innovación a través de acciones anuales</t>
  </si>
  <si>
    <t>Implementar cuatro (4) Estrategias de posicionamiento “Cartagena Plataforma Exportadora”</t>
  </si>
  <si>
    <t>Asistir cien (100) empresas en programas de exportaciones</t>
  </si>
  <si>
    <t>Generar cuatro (4) alianzas para la promoción de Cartagena como “destino internacional en inversiones y apuestas productivas”</t>
  </si>
  <si>
    <t>Implementar cuatro (4) rutas para la diversificación económica y el desarrollo empresarial</t>
  </si>
  <si>
    <t>Ejecutar cuatro (4) estrategias de fortalecimiento empresarial y generación de encadenamientos productivos</t>
  </si>
  <si>
    <t>Impactar cuatrocientos (400) MiPymes con servicios de fortalecimiento empresarial</t>
  </si>
  <si>
    <t>Implementar un (1) programa de fortalecimiento de comerciantes de sectores estratégicos</t>
  </si>
  <si>
    <t>Habilitar y consolidar sesenta (60) alianzas de cooperantes nacionales e internacionales</t>
  </si>
  <si>
    <t>Habilitar y mapear mil doscientas (1.200) organizaciones para cooperar</t>
  </si>
  <si>
    <t>Consolidar sesenta (60) nuevos negocios verdes</t>
  </si>
  <si>
    <t>Implementar dos (2) plantas para la revalorización de residuos en zonas de tratamiento integral (acopio, transformación, aprovechamiento y comercialización).</t>
  </si>
  <si>
    <t>Implementar cinco (5) proyectos específicos de economía circular con apoyo de cooperantes</t>
  </si>
  <si>
    <t>Desarrollar una (1) investigación para evaluar y redefinir las apuestas productivas de la ciudad en el marco de las tendencias futuras de la economía mundial</t>
  </si>
  <si>
    <t>Elaborar (1) estudio sobre mercado laboral y pertinencia educativa</t>
  </si>
  <si>
    <t>Crear un (1) fondo para la reconversión productiva a emprendimientos de pequeñas y medianas empresas</t>
  </si>
  <si>
    <t>Crear una (1) estrategia de encadenamientos productivos a nivel intersectorial e intrasectorial entre las grandes, medianas y pequeñas empresas</t>
  </si>
  <si>
    <t>Crear y poner en funcionamiento tres (3) Centros de Formación para el Empleo con Enfoque en Ciencia, Tecnología, Innovación y Bilingüismo</t>
  </si>
  <si>
    <t>Vincular a quinientos (500) jóvenes (mujeres, grupos étnicos y víctimas) a estrategias de formación relacionadas a la innovación y la Cuarta Revolución Industrial</t>
  </si>
  <si>
    <t>Implementar cuatro (4) estrategias de acceso a oportunidades del mercado laboral (trabajo formal y formalización del trabajo informal)</t>
  </si>
  <si>
    <t>Crear tres (3) cooperativas que vinculen a: (2) Organizaciones Comunales y (1) organizaciones de víctimas en el desarrollo de oportunidades del mercado laboral</t>
  </si>
  <si>
    <t>Vincular a diez mil (10.000) personas a rutas de empleo y capital humano (al menos 50% mujeres)</t>
  </si>
  <si>
    <t>Vincular cuatrocientos (400) jóvenes estudiantes en la realización de las prácticas laborales y recibiendo auxilios como incentivos, con criterios de paridad de género</t>
  </si>
  <si>
    <t>Vincular cuatrocientos (400) jóvenes graduados sin experiencia laboral a la administración distrital, con criterios de paridad de género</t>
  </si>
  <si>
    <t>Cualificar mil trescientos (1.300) mujeres para la inserción laboral acorde a la pertinencia y necesidades del mercado laboral de la ciudad</t>
  </si>
  <si>
    <t>Implementar cuatro (4) rutas de emprendimiento</t>
  </si>
  <si>
    <t>Ejecutar cuatro (4) planes de comercialización y visibilización de productos de emprendedores</t>
  </si>
  <si>
    <t>Elaborar cuatro (4) estrategias de acompañamiento a emprendimientos y MiPymes para acceso a mecanismos de financiación</t>
  </si>
  <si>
    <t>Intervenir a dos mil (2000) emprendedores con capacidad para emprender</t>
  </si>
  <si>
    <t>Diseñar y ejecutar una (1) estrategia de proveeduría de sectores administrados por el Distrito que vincule la participación de emprendimientos, negocios y/o proyectos productivos liderado por mujeres</t>
  </si>
  <si>
    <t xml:space="preserve">Implementar cuatro (4) estrategias para la promoción de ecosistemas de emprendimiento e innovación
</t>
  </si>
  <si>
    <t>Crear dos (2) microcentros de inteligencia artificial</t>
  </si>
  <si>
    <t>Elaborar una (1) Caracterización socio empresarial de familias vulnerables atendidas en el Distrito.</t>
  </si>
  <si>
    <t>Formar y asistir con fortalecimiento productivo a cuatro mil (4.000) personas vulnerables</t>
  </si>
  <si>
    <t>Desarrollar una (1) feria anual de emprendimiento en el Distrito priorizando mujeres y jóvenes</t>
  </si>
  <si>
    <t>Financiar y formalizar cien (100) negocios y/o proyectos productivos liderados por mujere</t>
  </si>
  <si>
    <t>Formar a dos mil (2.000) jóvenes en emprendimientos e inclusión productiva</t>
  </si>
  <si>
    <t>Apoyar financieramente seiscientos (600) emprendimientos juvenile</t>
  </si>
  <si>
    <t>Formar y certificar a cuatrocientos (400) jóvenes para la vinculación e inserción en el mercado labora</t>
  </si>
  <si>
    <t>Crear cuatro (4) espacios o acciones de promoción para la vinculación laboral de jóvenes al trabajo formal y promoción del primer empleo</t>
  </si>
  <si>
    <t>Formalizar seiscientos (600) vendedores con emprendimiento y creación de pequeña empresa</t>
  </si>
  <si>
    <t>Diseñar seis (6) mobiliarios urbanos para el emprendimiento económico</t>
  </si>
  <si>
    <t>Elaborar cuatro (4) documentos de linemientos para el manejo del sector turismo</t>
  </si>
  <si>
    <t>Poner en funcionamiento seis (6) Centros de Atención al Turista en el Distrito (zona insular y urbana)</t>
  </si>
  <si>
    <t>Entregar trescientos sesenta (360) equipamientos para brigadistas y guardavidas del Distrito</t>
  </si>
  <si>
    <t xml:space="preserve">Vincular a trescientos veinte (320) personas líderes y autoridades turísticas a procesos de formación
</t>
  </si>
  <si>
    <t>Vincular cuatro mil ochocientas veintisiete (4.827) personas a procesos de formación y capacitación formal e informal en asuntos turísticos</t>
  </si>
  <si>
    <t>Vincular a cuatrocientas (400) personas con oportunidades de acceso a rutas de empleo y capital humano en turismo sostenible con paridad de genero</t>
  </si>
  <si>
    <t>Crear e implementar ocho (8) rutas comunitarias</t>
  </si>
  <si>
    <t>Vincular a ochenta (80) personas a asistencia técnica para el fortalecimiento de la actividad artesanal</t>
  </si>
  <si>
    <t>Entregar quinientos (500) activos productivos a prestadores de servicios turísticos</t>
  </si>
  <si>
    <t>Implementar acciones de sostenibilidad ambiental en dos (2) atractivos turísticos</t>
  </si>
  <si>
    <t>Cofinanciar cuatro (4) proyectos para la actividad turística</t>
  </si>
  <si>
    <t>Obtener dos (2) certificaciones turísticas</t>
  </si>
  <si>
    <t>Crear un (1) Portal Único de Información Turística sobre la Oferta Turística</t>
  </si>
  <si>
    <t>Crear e implementar una (1) Tecnologia de destino turistica inteligente</t>
  </si>
  <si>
    <t>Implementar cinco (5) alianzas con universidades para la formacion y profesionalizacion de actores turisticos</t>
  </si>
  <si>
    <t>Promover y desarrollar ocho (8) eventos turísticos náuticos en la zona insular y urbana del Distrito</t>
  </si>
  <si>
    <t>Desarrollar cuatro (4) campañas de divulgación para la promoción turística y conectividad</t>
  </si>
  <si>
    <t>Participar en sesenta (60) eventos especializados</t>
  </si>
  <si>
    <t>Desarrollar cuatro (4) productos turísticos</t>
  </si>
  <si>
    <t>Implementar cinco (5) eventos de ciudad</t>
  </si>
  <si>
    <t>Dotar, adecuar, mejorar, mantener y/o construir nueve (9) infraestructuras turísticas</t>
  </si>
  <si>
    <t>Elaborar dos (2) estudios de preinversión para proyectos turísticos</t>
  </si>
  <si>
    <t>Instalar ochenta (80) señalizaciones turísticas en 2 playas y/o espacios turísticos</t>
  </si>
  <si>
    <t>Implementar acciones de mantenimiento en veinticinco (25) infraestructuras turísticas para prestar servicios de vigilancia, control y seguridad a los turistas</t>
  </si>
  <si>
    <t>Consolidar una (1) entidad para el desarrollo y sostenibilidad turística</t>
  </si>
  <si>
    <t>Crear un (1) Observatorio de Turismo</t>
  </si>
  <si>
    <t>Elaborar un (1) documento de Planificación de Ordenamiento de Playas</t>
  </si>
  <si>
    <t>Desarrollar diez (10) procesos productivos de agricultura campesina familiar y comunitaria</t>
  </si>
  <si>
    <t>Atender a mil setecientos sesenta y siete (1.767) mujeres rurales con servicios de extensión agropecuari</t>
  </si>
  <si>
    <t>Atender a doscientas (200) mujeres afro rurales con servicios de extensión agropecuaria</t>
  </si>
  <si>
    <t>Atender a cien (100) mujeres indígena en el fortalecimiento de las actividades propias</t>
  </si>
  <si>
    <t>Implementar tres (3) circuitos cortos de comercialización</t>
  </si>
  <si>
    <t>Formular y ejecutar un (1) Plan de Extensión Agropecuaria del Distrito</t>
  </si>
  <si>
    <t>Atender a tres mil seiscientos cincuenta y dos (3.652) productores con servicios de extensión agropecuaria</t>
  </si>
  <si>
    <t>Consolidar dos (2) encadenamientos y/o cadenas productivas para garantizar el derecho humano a la alimentación</t>
  </si>
  <si>
    <t>Dotar veinte (20) de pescadores (pertenecientes a grupos étnicos)</t>
  </si>
  <si>
    <t>Formular y ejecutar tres (3) procesos productivos en producción, reproducción y mejoramiento genético (bovina y/o especies menores)</t>
  </si>
  <si>
    <t>Crear cuatro (4) procesos asociativos para fortalecer las capacidades y competencias agropecuarias</t>
  </si>
  <si>
    <t>Asistir veinte (20) emprendimientos rurales orientados a la generación de valor agregad</t>
  </si>
  <si>
    <t>Implementar cuatro (4) alianzas y/o convenios interadministrativos para la dotación de infraestructura física y/o activos productivos de carácter público</t>
  </si>
  <si>
    <t>Implementar una (1) solución alternativa de fuentes de agua en zonas de producción agrícola para mitigar el cambio climático</t>
  </si>
  <si>
    <t>Formular e implementar dos (2) proyectos de maricultura</t>
  </si>
  <si>
    <t>Desarrollar cuatro (4) acciones para el fortalecimiento de la mujer en el ejercicio de la pesca</t>
  </si>
  <si>
    <t>Crear un (1) Centro de Acopio Integral</t>
  </si>
  <si>
    <t>Crear una (1) escuela de pescadores de saberes ancestrales</t>
  </si>
  <si>
    <t>Elaborar (1) prueba bromatológica en los peces de la bahía de Cartagena.</t>
  </si>
  <si>
    <t>Elaborar (1) prueba ambientales en los peces de la bahía de Cartagena.</t>
  </si>
  <si>
    <t xml:space="preserve">Implementar tres (3) fases del proceso de traslado del Mercado de Bazurto 
(1. Levantamiento, recopilación y revisión de información. 
2. Estudio de preinversion para el desarrollo de la estructuración técnica, social, ambiental, predial, financiera, jurídica y operativa del nuevo sistema de abastecimiento 
3. Ejecución) 
</t>
  </si>
  <si>
    <t>Formalizar a ciento setenta y seis (176) O.E.P. reubicados al interior del mercado</t>
  </si>
  <si>
    <t>Formalizar a seiscientos cuarenta y siete (647) O.E.P. de zonas no intervenidas en el mercado de Bazurto pendientes por formalizar en mercados sectoriales</t>
  </si>
  <si>
    <t>Actualizar dos (2) documentos normativos que rigen la operación de la plaza de mercados</t>
  </si>
  <si>
    <t>Implementar dos (2) Plan Gestión: 1. Ambiental, 2. Administrativa operativa y jurídica del Sistema de Mercados</t>
  </si>
  <si>
    <t>Intervenir o mantener quinientos (500) metros cuadrados de infraestructura de las plazas de mercado que conforman el Sistema Integral de Abastecimiento del Distrito</t>
  </si>
  <si>
    <t>TABLERO DE CONTROL PARA PLANES DE ACCIÓN - RANGOS POR TRIMESTRE AJUSTADOS SEGÚN EL PERIODO DE CORTE.</t>
  </si>
  <si>
    <t>Criterio de Seguimiento</t>
  </si>
  <si>
    <t>Rango de Seguimiento</t>
  </si>
  <si>
    <t>Primer Trimestre</t>
  </si>
  <si>
    <t>Segundo Trimestre</t>
  </si>
  <si>
    <t>Tercer Trimestre</t>
  </si>
  <si>
    <t>Cuarto Trimestre</t>
  </si>
  <si>
    <t>Sobresaliente</t>
  </si>
  <si>
    <t>90,1% - 100%</t>
  </si>
  <si>
    <t>22,51% - 25%</t>
  </si>
  <si>
    <t>45,1% - 50%</t>
  </si>
  <si>
    <t>67,51% - 75%</t>
  </si>
  <si>
    <t>Aceptable</t>
  </si>
  <si>
    <t>75,1% - 90%</t>
  </si>
  <si>
    <t>18,76% - 22,5%</t>
  </si>
  <si>
    <t>37,51% - 45%</t>
  </si>
  <si>
    <t>56,26% - 67,5%</t>
  </si>
  <si>
    <t>Medio</t>
  </si>
  <si>
    <t>50,1% - 75%</t>
  </si>
  <si>
    <t>12,51% - 18,75%</t>
  </si>
  <si>
    <t>25,1% - 37,5%</t>
  </si>
  <si>
    <t>37,51% - 56,25%</t>
  </si>
  <si>
    <t>Deficiente</t>
  </si>
  <si>
    <t>25,1% - 50%</t>
  </si>
  <si>
    <t>6,26% - 12,5%</t>
  </si>
  <si>
    <t>12,51% - 25%</t>
  </si>
  <si>
    <t>18,76% - 37,5%</t>
  </si>
  <si>
    <t>Crítico</t>
  </si>
  <si>
    <t>0%  - 25%</t>
  </si>
  <si>
    <t>0% - 6,25%</t>
  </si>
  <si>
    <t>0% - 12,5%</t>
  </si>
  <si>
    <t>0% - 18,75%</t>
  </si>
  <si>
    <t>0% - 25%</t>
  </si>
  <si>
    <t>PLAN DE ACCIÓN METAS PRODUCTO</t>
  </si>
  <si>
    <t>NIVEL DE EFICACIA</t>
  </si>
  <si>
    <t>ESTADO INDICADORES TABLERO DE CONTROL</t>
  </si>
  <si>
    <t>CALIFICACIÓN</t>
  </si>
  <si>
    <t>Muy Alto</t>
  </si>
  <si>
    <t>Mayor o igual a 90%</t>
  </si>
  <si>
    <t>Alto</t>
  </si>
  <si>
    <t>Igual o mayor al 70%  hasta el  89,9%</t>
  </si>
  <si>
    <t>Igual o mayor al 50% hasta el  69,9%</t>
  </si>
  <si>
    <t>Bajo</t>
  </si>
  <si>
    <t>Igual o mayor al 30% hasta el  49,9%</t>
  </si>
  <si>
    <t>Muy Bajo</t>
  </si>
  <si>
    <t>Menor al 29,9%</t>
  </si>
  <si>
    <t>PLAN DE DESARROLLO VIGENCIA 2024</t>
  </si>
  <si>
    <t>Demarcar ciento noventa (190,58) kilómetros de marcas longitudinales</t>
  </si>
  <si>
    <t>SECRETARÍA DE INFRAESTRUCTURA - EDURBE</t>
  </si>
  <si>
    <t>TOTAL METAS PRODUCTO PDD 2024 -2027</t>
  </si>
  <si>
    <t xml:space="preserve">PARTICIPACIÓN DE METAS PRODUCTO </t>
  </si>
  <si>
    <t>GEPM (GERENCIA DE ESPACIO PÚBLICO Y MOVILIDAD)</t>
  </si>
  <si>
    <t>GEPM (GERENCIA DE ESPACIO PÚBLICO Y MOVILIDAD) - SECRETARÍA DE INFRAESTRUCTURA</t>
  </si>
  <si>
    <t>DATT - GEPM (GERENCIA DE ESPACIO PÚBLICO Y MOVILIDAD)</t>
  </si>
  <si>
    <t>SECRETARÍA DE PLANEACIÓN - EPA</t>
  </si>
  <si>
    <t>Crear e implementar cuatro (4) estrategias de formación en cultura tributaria</t>
  </si>
  <si>
    <t>Número de estrategias de formación en cultura tributaria creadas e implementadas</t>
  </si>
  <si>
    <t>Revisar con enlace el cumplimiento de esa meta producto</t>
  </si>
  <si>
    <t xml:space="preserve">SECRETARÍA GENERAL
COOPERACIÓN INTERNACIONAL
</t>
  </si>
  <si>
    <t>SECRETARÍA GENERAL  - COOPERACIÓN INTERNACIONAL</t>
  </si>
  <si>
    <t>SECRETARÍA GENERAL - Corporación Museo Histórico de Cartagena</t>
  </si>
  <si>
    <t>ESCUELA DE GOBIERNO Y LIDERAZGO - Oficina Asesora de Control Interno</t>
  </si>
  <si>
    <t>SECRETARÍA GENERAL - Oficina Asesora Jurídica</t>
  </si>
  <si>
    <t>No Programada por el Colegio Mayor para la vigencia  2024</t>
  </si>
  <si>
    <t>OFICINA ASESORA PARA LA GESTIÓN DE RIESGO DE DESASTRE  / Oficina de Informática de la Alcaldía Distrital de Cartagena</t>
  </si>
  <si>
    <t xml:space="preserve">OFICINA ASESORA PARA LA GESTIÓN DE RIESGO DE DESASTRE - SECRETARÍA DE INFRAESTRUCTURA </t>
  </si>
  <si>
    <t>DISTRISEGURIDAD - SECRETARÍA DEL INTERIOR Y CONVIVENCIA CIUDADANA</t>
  </si>
  <si>
    <t>Diseñar e implementar anualmente cuatro (4) nuevas estrategias de fortalecimiento tributario en el Distrito</t>
  </si>
  <si>
    <t>No programado SED para la vigencia 2024</t>
  </si>
  <si>
    <t xml:space="preserve"> SECRETARÍA DEL INTERIOR Y CONVIVENCIA CIUDADANA - DISTRISEGURIDAD </t>
  </si>
  <si>
    <t>No programada DADIS para la vigencia 2025</t>
  </si>
  <si>
    <t>Revisar esta meta ya que cuenta con reporte de GEPM (programó 0,5 para esta vigencia) y tiene como reponsable ETCAR</t>
  </si>
  <si>
    <t>Número de personas con discapacidad vinculadas a rutas de empleo</t>
  </si>
  <si>
    <t>Vincular a sesenta (60) personas con discapacidad a rutas de empleo</t>
  </si>
  <si>
    <t>SECRETARÍA DE PARTICIPACIÓN Y DESARROLLO SOCIAL - SECRETARÍA DEL INTERIOR Y CONVIVENCIA CIUDADANA</t>
  </si>
  <si>
    <t>Revisa con enlace - No reportada por la Secretaría de Participación  para este trimestre</t>
  </si>
  <si>
    <t>Revisar porque la meta producto es anual y no fue  programada DADIS para la vigencia 2026</t>
  </si>
  <si>
    <t>Revisar reporte de Secretaría del Interior - El Intituto Comunal tambien reporta</t>
  </si>
  <si>
    <t>No Programada por el Instituto Comunal para la vigencia 2026</t>
  </si>
  <si>
    <t>No Programada por el Instituto Comunal para la vigencia 2027</t>
  </si>
  <si>
    <t>Revisar con enlace, ya que esta meta no la reportaron</t>
  </si>
  <si>
    <t>SECRETARÍA DE INFRAESTRUCTURA -  EDURBE</t>
  </si>
  <si>
    <t>Esta meta no fue programada por el EPA para la vigencia 2024</t>
  </si>
  <si>
    <t xml:space="preserve">GEPM (GERENCIA DE ESPACIO PÚBLICO Y MOVILIDAD) - SECRETARÍA DE INTERIOR </t>
  </si>
  <si>
    <t>Esta meta no fue reportada ni programada por Transcaribe o Secretaría de Infraestructura  para la vigencia 2025</t>
  </si>
  <si>
    <t>Esta meta no fue ni reportada ni programada por la Secreatría de Infraestructura para la vigencia 2024.</t>
  </si>
  <si>
    <t>Esta meta no fue ni reportada ni programada por el EPA para la vigencia 2024.</t>
  </si>
  <si>
    <t>No programado ni reportado por la Secretaría de Turismo se programa cero para esta vigencia al igual que el reporte</t>
  </si>
  <si>
    <t>Esta meta no fue programada ni reportada por la Secretaría de Infraestructura ni la Secretaría de Turismo para esta vigencia 2024</t>
  </si>
  <si>
    <t>PROGRAMADO CORTE  2024 RESPECTO AL CUATRIENIO 2024 -2027 (PONDERADOR)</t>
  </si>
  <si>
    <t>Secretaría General  no programó de esta meta Producto para vigencia 2024</t>
  </si>
  <si>
    <t xml:space="preserve"> Corvivienda no Programó esta meta para esta Linea Estrategica para la vigencia</t>
  </si>
  <si>
    <t>Esta meta no se Programó por el IPCC para la vigencia 2025</t>
  </si>
  <si>
    <t>Esta meta Secretaría de Turismo  no reportó ni programó para esta vigencia</t>
  </si>
  <si>
    <t xml:space="preserve"> Corvivienda Programó esta meta para esta Linea Estrategica para la vigencia en el reporte</t>
  </si>
  <si>
    <t xml:space="preserve"> Esta meta no se reportó ni programó por parte de la Secretaría de Hacienda para la vigencia 2024</t>
  </si>
  <si>
    <t xml:space="preserve">
</t>
  </si>
  <si>
    <t>RESPONSABLES</t>
  </si>
  <si>
    <t xml:space="preserve">Componente Impulsor del avance: Transparencia y Gobierno Abierto
</t>
  </si>
  <si>
    <t>PLAN DE DESARROLLO CARTAGENA CIUDAD DE DERECHOS 2024 - 2027</t>
  </si>
  <si>
    <t>Meta Cumplida</t>
  </si>
  <si>
    <t>Ete programa se ajusta el avance, ya que para el primer año, solo se programaron dos metas, por lo tanto, solo se  incluye el avance sobre 12 metas y no 2, para la priemra vigencia 2024. se colocó 12,5% de avance en el cuatrienio</t>
  </si>
  <si>
    <t>META CUMPLIDA</t>
  </si>
  <si>
    <t xml:space="preserve"> SEGURIDAD HUMANA
</t>
  </si>
  <si>
    <t xml:space="preserve"> PLAN ESTRATÉGICO DE SEGURIDAD INTEGRAL TITAN 24</t>
  </si>
  <si>
    <t>EL CUERPO DE BOMBEROS AVANZA</t>
  </si>
  <si>
    <t>SEGURIDAD YA CON DOTACIÓN A LOS ORGANISMOS DE SEGURIDAD, SOCORRO, JUSTICIA Y CONVIVENCIA Y TECNOLOGÍA PARA LA PREVENCIÓN</t>
  </si>
  <si>
    <t xml:space="preserve"> SEGURIDAD YA EN LAS PLAYAS DE CARTAGENA</t>
  </si>
  <si>
    <t xml:space="preserve"> EDUCACIÓN, CULTURA Y SEGURIDAD VIAL PARA AVANZAR</t>
  </si>
  <si>
    <t xml:space="preserve"> UNA VIDA LIBRE DE VIOLENCIA PARA LAS MUJERES</t>
  </si>
  <si>
    <t xml:space="preserve"> DERECHO A LA PAZ Y CONVIVENCIA CON EQUIDAD DE GÉNERO</t>
  </si>
  <si>
    <t>CARTAGENA AVANZA EN CONVIVENCIA</t>
  </si>
  <si>
    <t xml:space="preserve"> AVANZANDO EN EL FORTALECIMIENTO DE CASAS DE JUSTICIA, COMISARÍAS DE FAMILIA E INSPECCIONES DE POLICÍA</t>
  </si>
  <si>
    <t xml:space="preserve"> ATENCIÓN INTEGRAL A JÓVENES EN SITUACIÓN DE RIESGO SOCIAL</t>
  </si>
  <si>
    <t>ASISTENCIA, ATENCIÓN Y REPARACIÓN EFECTIVA E INTEGRAL A LAS VÍCTIMAS DEL CONFLICTO ARMADO</t>
  </si>
  <si>
    <t>DERECHOS HUMANOS PARA LA VIDA DIGNA</t>
  </si>
  <si>
    <t>SISTEMA PENITENCIARIO Y CARCELARIO EN EL MARCO DE LOS DERECHOS HUMANOS</t>
  </si>
  <si>
    <t xml:space="preserve"> SALUD CON COBERTURA, ACCESIBILIDAD, CALIDAD E INCLUSIÓN</t>
  </si>
  <si>
    <t xml:space="preserve"> DERECHOS EN SALUD Y PROMOCIÓN SOCIAL</t>
  </si>
  <si>
    <t xml:space="preserve"> FORTALECIMIENTO DEL CENTRO REGULADOR DE URGENCIAS, EMERGENCIAS Y DESASTRES EN EL DISTRITO DE CARTAGENA - CRUED</t>
  </si>
  <si>
    <t xml:space="preserve"> SALUD PÚBLICA</t>
  </si>
  <si>
    <t xml:space="preserve"> CEMENTERIOS</t>
  </si>
  <si>
    <t xml:space="preserve"> FORTALECIMIENTO A LA PROTECCIÓN DIGNA DE LAS PERSONAS MAYORES EN EL DISTRITO DE CARTAGENA</t>
  </si>
  <si>
    <t xml:space="preserve"> ASISTENCIA SOCIAL E INCLUYENTE A LAS PERSONAS CON DISCAPACIDAD Y/O SU FAMILIA O CUIDADORES PARA LA SEGURIDAD HUMANA Y BIENESTAR SOCIAL</t>
  </si>
  <si>
    <t xml:space="preserve"> UNIDOS PARA LA INCLUSIÓN PRODUCTIVA DE LAS PERSONAS CON DISCAPACIDAD</t>
  </si>
  <si>
    <t xml:space="preserve"> CIUDADANOS HABITANTES DE CALLE CON PROTECCIÓN SOCIAL Y GARANTÍA DE DERECHOS</t>
  </si>
  <si>
    <t>ATENCIÓN INTEGRAL AL MIGRANTE</t>
  </si>
  <si>
    <t>CARTAGENA DIVERSA</t>
  </si>
  <si>
    <t>SISTEMA DISTRITAL DEL CUIDADO</t>
  </si>
  <si>
    <t xml:space="preserve"> IDENTIFICACIÓN PARA LA SUPERACIÓN DE LA POBREZA EXTREMA</t>
  </si>
  <si>
    <t xml:space="preserve"> SALUD PARA LA SUPERACIÓN DE LA POBREZA EXTREMA</t>
  </si>
  <si>
    <t>EDUCACIÓN PARA LA SUPERACIÓN DE LA POBREZA EXTREMA</t>
  </si>
  <si>
    <t>HABITABILIDAD PARA LA SUPERACIÓN DE LA POBREZA EXTREMA</t>
  </si>
  <si>
    <t>INGRESO Y TRABAJO PARA LA SUPERACIÓN DE LA POBREZA EXTREMA</t>
  </si>
  <si>
    <t xml:space="preserve"> BANCARIZACIÓN PARA LA SUPERACIÓN DE LA POBREZA EXTREMA</t>
  </si>
  <si>
    <t xml:space="preserve"> DINÁMICA FAMILIAR PARA LA SUPERACIÓN DE LA POBREZA EXTREMA</t>
  </si>
  <si>
    <t xml:space="preserve"> SEGURIDAD ALIMENTARIA Y NUTRICIÓN PARA LA SUPERACIÓN DE LA POBREZA EXTREMA</t>
  </si>
  <si>
    <t>ACCESO A LA JUSTICIA PARA LA SUPERACIÓN DE LA POBREZA EXTREMA</t>
  </si>
  <si>
    <t xml:space="preserve"> FORTALECIMIENTO INSTITUCIONAL DE RENTA CIUDADANA, RENTA JOVEN Y COLOMBIA MAYOR PARA LA SUPERACIÓN DE LA POBREZA EXTREMA</t>
  </si>
  <si>
    <t xml:space="preserve"> FORTALECIMIENTO INSTITUCIONAL PARA LA SUPERACIÓN DE LA POBREZA EXTREMA</t>
  </si>
  <si>
    <t>SALUD PÚBLICA</t>
  </si>
  <si>
    <t>CEMENTERIOS</t>
  </si>
  <si>
    <t xml:space="preserve"> ATENCIÓN INTEGRAL AL MIGRANTE</t>
  </si>
  <si>
    <t xml:space="preserve"> CARTAGENA DIVERSA</t>
  </si>
  <si>
    <t xml:space="preserve"> SISTEMA DISTRITAL DEL CUIDADO</t>
  </si>
  <si>
    <t xml:space="preserve"> EDUCACIÓN PARA LA SUPERACIÓN DE LA POBREZA EXTREMA</t>
  </si>
  <si>
    <t xml:space="preserve"> HABITABILIDAD PARA LA SUPERACIÓN DE LA POBREZA EXTREMA</t>
  </si>
  <si>
    <t xml:space="preserve"> INGRESO Y TRABAJO PARA LA SUPERACIÓN DE LA POBREZA EXTREMA</t>
  </si>
  <si>
    <t xml:space="preserve"> ACCESO A LA JUSTICIA PARA LA SUPERACIÓN DE LA POBREZA EXTREMA</t>
  </si>
  <si>
    <t xml:space="preserve"> Educación
</t>
  </si>
  <si>
    <t xml:space="preserve"> VIDA DIGNA
</t>
  </si>
  <si>
    <t>MODERNIZACIÓN DE LA INFRAESTRUCTURA EDUCATIVA</t>
  </si>
  <si>
    <t xml:space="preserve"> AVANZANDO DESDE EL COMIENZO</t>
  </si>
  <si>
    <t>ME QUEDO PORQUE ME QUEDO</t>
  </si>
  <si>
    <t xml:space="preserve"> YO CUENTO</t>
  </si>
  <si>
    <t xml:space="preserve"> ESCUELA HOGAR</t>
  </si>
  <si>
    <t xml:space="preserve"> CARTAGENA TERRITORIO PLURILINGÜE</t>
  </si>
  <si>
    <t>CARTAGENA MEJOR EDUCADA</t>
  </si>
  <si>
    <t xml:space="preserve"> LEVANTEMOS LA VOZ</t>
  </si>
  <si>
    <t xml:space="preserve"> AULA GLOBAL</t>
  </si>
  <si>
    <t xml:space="preserve"> FORMACIÓN Y CUALIFICACIÓN DE DOCENTES Y DIRECTIVOS DOCENTES</t>
  </si>
  <si>
    <t xml:space="preserve"> FORTALECIMIENTO DE LA GESTIÓN ESCOLAR EN LAS INSTITUCIONES EDUCATIVAS OFICIALES</t>
  </si>
  <si>
    <t>UNIDOS POR EL SUEÑO SUPERIOR</t>
  </si>
  <si>
    <t>CARTAGENA, TERRITORIO DIGITAL</t>
  </si>
  <si>
    <t>OFERTA ACADÉMICA SUPERIOR CON CALIDAD</t>
  </si>
  <si>
    <t>FORMACIÓN TÉCNICA Y COMPLEMENTARIA EN OFICIOS</t>
  </si>
  <si>
    <t xml:space="preserve"> Acceso a Servicios Básicos
</t>
  </si>
  <si>
    <t>ACCESO AL AGUA POTABLE Y SANEAMIENTO BÁSICO</t>
  </si>
  <si>
    <t>AVANZAMOS POR UNA CARTAGENA ILUMINADA Y LA TRANSICIÓN ENERGÉTICA</t>
  </si>
  <si>
    <t>UNIDOS POR LA GESTIÓN DE LOS RESIDUOS Y EL DESARROLLO SOSTENIBLE</t>
  </si>
  <si>
    <t xml:space="preserve"> Vivienda Digna y Hábitat
</t>
  </si>
  <si>
    <t xml:space="preserve"> UNIDOS POR UNA VIVIENDA PARA TI</t>
  </si>
  <si>
    <t>MI CASA AVANZA</t>
  </si>
  <si>
    <t>MI CASA CON PROPIEDAD</t>
  </si>
  <si>
    <t xml:space="preserve"> MI TERRITORIO EN ORDEN</t>
  </si>
  <si>
    <t xml:space="preserve">Artes, Cultura y Patrimonio
</t>
  </si>
  <si>
    <t xml:space="preserve"> ESCENARIOS CULTURALES VIVOS PARA TRANSFORMAR</t>
  </si>
  <si>
    <t xml:space="preserve"> DEMOCRATIZACIÓN DE LA CULTURA: ESTÍMULOS PARA EL FOMENTO Y DESARROLLO ARTÍSTICO, CULTURAL Y CREATIVO.</t>
  </si>
  <si>
    <t xml:space="preserve"> FORMACIÓN ARTÍSTICA Y CULTURAL</t>
  </si>
  <si>
    <t xml:space="preserve"> DERECHOS CULTURALES Y FORTALECIMIENTO INSTITUCIONAL PARA LA GOBERNANZA</t>
  </si>
  <si>
    <t xml:space="preserve"> CARTAGENA BRILLA CON SU CULTURA Y PATRIMONIO MATERIAL E INMATERIAL</t>
  </si>
  <si>
    <t xml:space="preserve"> MEMORIA Y PATRIMONIO AL SERVICIO DE LA CIUDADANÍA</t>
  </si>
  <si>
    <t xml:space="preserve">Deporte y Recreación
</t>
  </si>
  <si>
    <t xml:space="preserve"> FORTALECIMIENTO Y MANTENIMIENTO DE LA RED DE INFRAESTRUCTURA DEPORTIVA DEL DISTRITO</t>
  </si>
  <si>
    <t xml:space="preserve"> FOMENTO AL DEPORTE DE ALTO RENDIMIENTO</t>
  </si>
  <si>
    <t>FORTALECIMIENTO DEL CAPITAL HUMANO A TRAVÉS DE LAS CIENCIAS APLICADAS AL DEPORTE Y LA RECREACIÓN.</t>
  </si>
  <si>
    <t xml:space="preserve"> FORTALECIMIENTO DEL DEPORTE FORMATIVO, ESTUDIANTIL Y LA EDUCACIÓN FÍSICA EXTRAESCOLAR</t>
  </si>
  <si>
    <t xml:space="preserve"> FORTALECIMIENTO DEL DEPORTE SOCIAL COMUNITARIO, AVANZAR EN NUESTRO TERRITORIO</t>
  </si>
  <si>
    <t>PROMOCIÓN DE HÁBITOS Y ESTILOS DE VIDA SALUDABLE, RECREACIÓN, ACTIVIDAD FÍSICA Y EL APROVECHAMIENTO DEL TIEMPO LIBRE EN EL DISTRITO DE CARTAGENA</t>
  </si>
  <si>
    <t xml:space="preserve"> CARTAGENA CIUDAD DESTINO DE TURISMO DEPORTIVO</t>
  </si>
  <si>
    <t xml:space="preserve"> Infancia, Adolescencia y Familia
</t>
  </si>
  <si>
    <t xml:space="preserve"> ENTORNOS SEGUROS PARA LA PRIMERA INFANCIA</t>
  </si>
  <si>
    <t>AVANZANDO HACIA UNA INFANCIA Y ADOLESCENCIA PROTEGIDA Y SIN VIOLENCIAS</t>
  </si>
  <si>
    <t>JUGANDO Y PARTICIPANDO LOS DERECHOS DE LA NIÑEZ VAMOS IMPULSANDO</t>
  </si>
  <si>
    <t xml:space="preserve"> MODERNIZACIÓN DE LA INFRAESTRUCTURA EDUCATIVA</t>
  </si>
  <si>
    <t xml:space="preserve"> ME QUEDO PORQUE ME QUEDO</t>
  </si>
  <si>
    <t xml:space="preserve"> CARTAGENA MEJOR EDUCADA</t>
  </si>
  <si>
    <t xml:space="preserve"> UNIDOS POR EL SUEÑO SUPERIOR</t>
  </si>
  <si>
    <t xml:space="preserve"> AVANZAMOS EN EL FORTALECIMIENTO INSTITUCIONAL DE LA SECRETARÍA DE EDUCACIÓN</t>
  </si>
  <si>
    <t xml:space="preserve"> CARTAGENA, TERRITORIO DIGITAL</t>
  </si>
  <si>
    <t xml:space="preserve"> OFERTA ACADÉMICA SUPERIOR CON CALIDAD</t>
  </si>
  <si>
    <t xml:space="preserve"> FORMACIÓN TÉCNICA Y COMPLEMENTARIA EN OFICIOS</t>
  </si>
  <si>
    <t xml:space="preserve"> ACCESO AL AGUA POTABLE Y SANEAMIENTO BÁSICO</t>
  </si>
  <si>
    <t xml:space="preserve"> AVANZAMOS POR UNA CARTAGENA ILUMINADA Y LA TRANSICIÓN ENERGÉTICA</t>
  </si>
  <si>
    <t xml:space="preserve"> UNIDOS POR LA GESTIÓN DE LOS RESIDUOS Y EL DESARROLLO SOSTENIBLE</t>
  </si>
  <si>
    <t xml:space="preserve"> MI CASA AVANZA</t>
  </si>
  <si>
    <t xml:space="preserve"> MI CASA CON PROPIEDAD</t>
  </si>
  <si>
    <t xml:space="preserve"> FORTALECIMIENTO DEL CAPITAL HUMANO A TRAVÉS DE LAS CIENCIAS APLICADAS AL DEPORTE Y LA RECREACIÓN.</t>
  </si>
  <si>
    <t xml:space="preserve"> PROMOCIÓN DE HÁBITOS Y ESTILOS DE VIDA SALUDABLE, RECREACIÓN, ACTIVIDAD FÍSICA Y EL APROVECHAMIENTO DEL TIEMPO LIBRE EN EL DISTRITO DE CARTAGENA</t>
  </si>
  <si>
    <t xml:space="preserve"> AVANZANDO HACIA UNA INFANCIA Y ADOLESCENCIA PROTEGIDA Y SIN VIOLENCIAS</t>
  </si>
  <si>
    <t xml:space="preserve"> JUGANDO Y PARTICIPANDO LOS DERECHOS DE LA NIÑEZ VAMOS IMPULSANDO</t>
  </si>
  <si>
    <t xml:space="preserve"> UNIDOS POR UNA CARTAGENA COMPETITIVA E INNOVADORA</t>
  </si>
  <si>
    <t xml:space="preserve"> CARTAGENA GLOBAL</t>
  </si>
  <si>
    <t xml:space="preserve"> UNIDOS POR LA DIVERSIFICACIÓN ECONÓMICA Y EL DESARROLLO EMPRESARIAL</t>
  </si>
  <si>
    <t xml:space="preserve"> COOPERACIÓN PARA AVANZAR</t>
  </si>
  <si>
    <t xml:space="preserve"> ECONOMÍA CIRCULAR Y NEGOCIOS VERDES</t>
  </si>
  <si>
    <t xml:space="preserve"> TRANSFORMACIÓN PRODUCTIVA</t>
  </si>
  <si>
    <t xml:space="preserve"> EMPLEO Y CAPITAL HUMANO</t>
  </si>
  <si>
    <t xml:space="preserve"> MI PRIMERA CHAMBA</t>
  </si>
  <si>
    <t xml:space="preserve"> DERECHO AL TRABAJO EN CONDICIONES DE IGUALDAD Y DIGNIDAD PARA LA MUJER</t>
  </si>
  <si>
    <t xml:space="preserve"> AVANZAMOS CON CAPACIDADES EMPRENDEDORAS</t>
  </si>
  <si>
    <t xml:space="preserve"> AVANZAMOS PARA FORTALECER LA ECONOMÍA POPULAR Y GENERAR MEJORES INGRESOS PARA NUESTRAS FAMILIAS</t>
  </si>
  <si>
    <t xml:space="preserve"> CARTAGENA FOMENTA LA INCLUSIÓN PRODUCTIVA JUVENIL</t>
  </si>
  <si>
    <t xml:space="preserve"> FOMENTO EMPRESARIAL Y DESARROLLO SOSTENIBLE</t>
  </si>
  <si>
    <t xml:space="preserve"> SEGURIDAD, VIGILANCIA Y CONTROL PARA UN TURISMO RESPONSABLE</t>
  </si>
  <si>
    <t xml:space="preserve"> TURISMO SOSTENIBLE E INCLUYENTE CON LAS COMUNIDADES</t>
  </si>
  <si>
    <t xml:space="preserve"> PROMOCIÓN TURÍSTICA</t>
  </si>
  <si>
    <t xml:space="preserve"> INFRAESTRUCTURA TURÍSTICA PARA EL DESARROLLO</t>
  </si>
  <si>
    <t xml:space="preserve"> GOBERNANZA Y FORTALECIMIENTO INSTITUCIONAL PARA UNA CIUDAD DE DERECHOS, RESPONSABLE Y COMPETITIVA</t>
  </si>
  <si>
    <t xml:space="preserve"> INCLUSIÓN PRODUCTIVA Y SOCIAL DE LA AGRICULTURA CAMPESINA, FAMILIAR Y COMUNITARIA</t>
  </si>
  <si>
    <t xml:space="preserve"> EXTENSIÓN AGROPECUARIA, INFRAESTRUCTURA Y ACTIVOS PRODUCTIVOS PARA LA COMPETITIVIDAD AGROPECUARIA Y LA SOBERANÍA ALIMENTARIA</t>
  </si>
  <si>
    <t xml:space="preserve"> CARTAGENA CIUDAD DE PESCADORES</t>
  </si>
  <si>
    <t xml:space="preserve"> DESARROLLO DEL NUEVO SISTEMA DE MERCADOS DEL DISTRITO</t>
  </si>
  <si>
    <t xml:space="preserve"> GESTIÓN INTEGRAL DEL SISTEMA DE MERCADOS</t>
  </si>
  <si>
    <t xml:space="preserve"> INSTRUMENTOS DE PLANIFICACIÓN TERRITORIAL</t>
  </si>
  <si>
    <t xml:space="preserve"> RECUPERACIÓN Y TRANSFORMACIÓN DEL ESPACIO PÚBLICO</t>
  </si>
  <si>
    <t xml:space="preserve"> RECUPERANDO LA GOBERNANZA URBANÍSTICA, CARTAGENA VUELVE A BRILLAR</t>
  </si>
  <si>
    <t xml:space="preserve"> CARTAGENA AVANZA EN EL FORTALECIMIENTO DEL PLAN DE NORMALIZACIÓN URBANÍSTICA</t>
  </si>
  <si>
    <t xml:space="preserve"> BIENESTAR ANIMAL Y PROTECCIÓN DE LA VIDA SILVESTRE</t>
  </si>
  <si>
    <t xml:space="preserve"> GESTIÓN Y CONSERVACIÓN DE LA VEGETACIÓN Y LA BIODIVERSIDAD</t>
  </si>
  <si>
    <t xml:space="preserve"> ALERTAS TEMPRANAS</t>
  </si>
  <si>
    <t xml:space="preserve"> INVESTIGACIÓN, EDUCACIÓN Y CULTURA AMBIENTAL</t>
  </si>
  <si>
    <t xml:space="preserve"> GENERACIÓN DE ESPACIOS PÚBLICOS REVITALIZADOS Y ADAPTADOS PARA TODOS</t>
  </si>
  <si>
    <t xml:space="preserve"> ORDENAMIENTO Y SOSTENIBILIDAD AMBIENTAL</t>
  </si>
  <si>
    <t xml:space="preserve"> CONOCIMIENTO DEL RIESGO</t>
  </si>
  <si>
    <t xml:space="preserve"> REDUCCIÓN DEL RIESGO</t>
  </si>
  <si>
    <t xml:space="preserve"> MANEJO DE DESASTRES</t>
  </si>
  <si>
    <t xml:space="preserve"> PROTECCIÓN COSTERA</t>
  </si>
  <si>
    <t xml:space="preserve"> ADAPTACIÓN DEL ESPACIO PÚBLICO AL CAMBIO CLIMÁTICO</t>
  </si>
  <si>
    <t xml:space="preserve"> SOSTENIBILIDAD DEL ESPACIO PÚBLICO DEL CENTRO HISTÓRICO DE CARTAGENA DE INDIAS.</t>
  </si>
  <si>
    <t xml:space="preserve"> CONEXIÓN ENTRE EL CASTILLO DE SAN FELIPE DE BARAJAS Y SU ÁREA DE INFLUENCIA PARA LA RECUPERACIÓN DEL PATRIMONIO ARQUEOLÓGICO, MATERIAL E INMATERIAL</t>
  </si>
  <si>
    <t xml:space="preserve"> MURALLA PARA TODOS</t>
  </si>
  <si>
    <t xml:space="preserve"> INTERVENCIONES URBANAS INTEGRALES</t>
  </si>
  <si>
    <t xml:space="preserve"> REHABILITACIÓN, MANTENIMIENTO, ADECUACIÓN, Y OBRA NUEVA PARA EL SISTEMA VIAL Y ESTRUCTURAS DE PASO</t>
  </si>
  <si>
    <t xml:space="preserve"> SOLUCIONES VIALES PARA LA COMPETITIVIDAD A TRAVÉS DE CONTRIBUCIÓN POR VALORIZACIÓN</t>
  </si>
  <si>
    <t xml:space="preserve"> MOVILIDAD ORDENADA, SOSTENIBLE Y AMIGABLE CON EL MEDIO AMBIENTE</t>
  </si>
  <si>
    <t xml:space="preserve"> TRANSPORTE MASIVO CONFIABLE, EFICIENTE Y SOSTENIBLE</t>
  </si>
  <si>
    <t xml:space="preserve"> GESTIÓN Y CONSERVACIÓN DEL AGUA</t>
  </si>
  <si>
    <t xml:space="preserve"> RECUPERACIÓN DEL SISTEMA DE CANALES Y DRENAJES PLUVIALES</t>
  </si>
  <si>
    <t xml:space="preserve"> RECUPERACIÓN Y ESTABILIZACIÓN DEL SISTEMA HÍDRICO Y LITORAL DE CARTAGENA</t>
  </si>
  <si>
    <t xml:space="preserve"> PLAN DE RESTAURACIÓN INTEGRAL DE LA CIÉNAGA DE LA VIRGEN</t>
  </si>
  <si>
    <t xml:space="preserve"> GESTIÓN DEL TERRITORIO MARINO-COSTERO</t>
  </si>
  <si>
    <t xml:space="preserve"> PROMOCIÓN, CREACIÓN Y OPERACIÓN DE ESQUEMAS ASOCIATIVOS TERRITORIALES DE LA CIUDAD REGIÓN</t>
  </si>
  <si>
    <t xml:space="preserve"> PROCESOS ADMINISTRATIVOS ÓPTIMOS Y TRANSPARENTES</t>
  </si>
  <si>
    <t xml:space="preserve"> TRANSPARENCIA Y LUCHA CONTRA LA CORRUPCIÓN</t>
  </si>
  <si>
    <t xml:space="preserve"> CARTAGENA DIGITAL, INCLUSIVA Y CONECTADA</t>
  </si>
  <si>
    <t xml:space="preserve"> MODELO INTEGRADO DE PLANEACIÓN Y GESTIÓN - MIPG</t>
  </si>
  <si>
    <t xml:space="preserve"> MEJORA NORMATIVA EN EL DISTRITO DE CARTAGENA DE INDIAS</t>
  </si>
  <si>
    <t xml:space="preserve"> PATRIMONIO PÚBLICO AL SERVICIO DE CARTAGENA</t>
  </si>
  <si>
    <t xml:space="preserve"> REDISEÑO INSTITUCIONAL E INNOVACIÓN ADMINISTRATIVA DEL DISTRITO</t>
  </si>
  <si>
    <t xml:space="preserve"> SEGURIDAD DIGITAL</t>
  </si>
  <si>
    <t xml:space="preserve"> TRANSFORMACIÓN DIGITAL DEL SISTEMA DE ARCHIVO PARA LA GESTIÓN PÚBLICA EFICIENTE</t>
  </si>
  <si>
    <t xml:space="preserve"> FORTALECIMIENTO DEL SISTEMA DE CONTROL INTERNO, SCI</t>
  </si>
  <si>
    <t xml:space="preserve"> FORTALECIMIENTO DE LA GESTIÓN ADMINISTRATIVA Y OPERATIVA DEL DEPARTAMENTO ADMINISTRATIVO DE TRÁNSITO Y TRANSPORTE - DATT</t>
  </si>
  <si>
    <t xml:space="preserve"> GESTIÓN FISCAL Y FINANCIERA OPORTUNA</t>
  </si>
  <si>
    <t xml:space="preserve"> HACIENDA MODERNA Y DIGITAL</t>
  </si>
  <si>
    <t xml:space="preserve"> SERVIDORES CON ESPLENDOR CONSTRUYENDO CIUDAD</t>
  </si>
  <si>
    <t xml:space="preserve"> CIUDADANÍA DIVERSA, PARTICIPATIVA Y PROPULSORA DEL DESARROLLO</t>
  </si>
  <si>
    <t xml:space="preserve"> CARTAGENEIDAD CON ORGULLO Y ESPLENDOR</t>
  </si>
  <si>
    <t xml:space="preserve"> CARTAGENA BRILLA CON CULTURA CIUDADANA</t>
  </si>
  <si>
    <t xml:space="preserve"> ESCUELA DE GOBERNANZA E INNOVACIÓN PÚBLICA</t>
  </si>
  <si>
    <t xml:space="preserve"> ORGANISMOS COMUNALES TÉCNICOS Y ADMINISTRATIVAMENTE EFICIENTES</t>
  </si>
  <si>
    <t xml:space="preserve"> ORGANIZACIONES SOCIALES SÓLIDAS E INCIDENTES EN EL DESARROLLO LOCAL</t>
  </si>
  <si>
    <t xml:space="preserve"> PRESUPUESTO PARTICIPATIVO</t>
  </si>
  <si>
    <t xml:space="preserve"> PARTICIPANDO DECIDIMOS Y AVANZAMOS</t>
  </si>
  <si>
    <t xml:space="preserve"> PROMOCIÓN Y GARANTÍA PARA LA PARTICIPACIÓN SOCIOPOLÍTICA JUVENIL</t>
  </si>
  <si>
    <t xml:space="preserve"> DERECHO A LA PARTICIPACIÓN Y REPRESENTACIÓN CON EQUIDAD DE GÉNERO</t>
  </si>
  <si>
    <t xml:space="preserve"> CENTRO DE INVESTIGACIÓN DE INFORMACIÓN DE LA CIUDAD PARA LA TOMA DE DECISIONES (CIDI)</t>
  </si>
  <si>
    <t xml:space="preserve"> SISTEMAS DE INFORMACIÓN PARA EL DESARROLLO DE CARTAGENA</t>
  </si>
  <si>
    <t xml:space="preserve"> INVERSIÓN PÚBLICA EFICIENTE Y TRANSPARENTE</t>
  </si>
  <si>
    <t xml:space="preserve"> POLÍTICAS PÚBLICAS INTERSECTORIALES Y CON VISIÓN INTEGRAL</t>
  </si>
  <si>
    <t xml:space="preserve"> DESCENTRALIZACIÓN ADMINISTRATIVA</t>
  </si>
  <si>
    <t xml:space="preserve"> GESTIÓN CATASTRAL CON ENFOQUE MULTIPROPÓSITO</t>
  </si>
  <si>
    <t xml:space="preserve"> GOBERNANZA Y PARTICIPACIÓN DE LAS COMUNIDADES NEGRAS AFROCOLOMBIANAS, RAIZALES Y PALENQUERAS PARA EL FORTALECIMIENTO DE LA DEMOCRACIA EN EL DISTRITO</t>
  </si>
  <si>
    <t xml:space="preserve"> DESARROLLO HUMANO Y BIENESTAR SOCIAL DE LAS COMUNIDADES NEGRAS, AFROCOLOMBIANAS, RAIZALES Y PALENQUERAS</t>
  </si>
  <si>
    <t xml:space="preserve"> DESARROLLO LOCAL SOSTENIBLE Y PROSPERIDAD COLECTIVA EN LOS TERRITORIOS DE LAS COMUNIDADES NEGRAS DEL DISTRITO DE CARTAGENA</t>
  </si>
  <si>
    <t xml:space="preserve"> TERRITORIO PROPIO</t>
  </si>
  <si>
    <t xml:space="preserve"> ATENCIÓN INTEGRAL PARA LAS COMUNIDADES INDÍGENAS</t>
  </si>
  <si>
    <t xml:space="preserve"> MUJER INDÍGENA, FAMILIA Y GENERACIÓN DE INGRESOS</t>
  </si>
  <si>
    <t xml:space="preserve"> Competitividad e innovación
</t>
  </si>
  <si>
    <t xml:space="preserve"> DESARROLLO ECONÓMICO EQUITATIVO
</t>
  </si>
  <si>
    <t xml:space="preserve"> Diversificación Económica
</t>
  </si>
  <si>
    <t xml:space="preserve"> Trabajo Decente y Cierre de Brechas Laborales
</t>
  </si>
  <si>
    <t xml:space="preserve"> Economía Popular y Emprendimiento
</t>
  </si>
  <si>
    <t>AVANZAMOS PARA FORTALECER LA ECONOMÍA POPULAR Y GENERAR MEJORES INGRESOS PARA NUESTRAS FAMILIAS</t>
  </si>
  <si>
    <t>FOMENTO EMPRESARIAL Y DESARROLLO SOSTENIBLE</t>
  </si>
  <si>
    <t xml:space="preserve">Turismo Sostenible y Responsable
</t>
  </si>
  <si>
    <t>SEGURIDAD, VIGILANCIA Y CONTROL PARA UN TURISMO RESPONSABLE</t>
  </si>
  <si>
    <t>TURISMO SOSTENIBLE E INCLUYENTE CON LAS COMUNIDADES</t>
  </si>
  <si>
    <t>PROMOCIÓN TURÍSTICA</t>
  </si>
  <si>
    <t xml:space="preserve"> Desarrollo Agropecuario 
</t>
  </si>
  <si>
    <t xml:space="preserve">Sistema Integral de Abastecimiento del Distrito
</t>
  </si>
  <si>
    <t xml:space="preserve">CARTAGENA CIUDAD CONECTADA Y SOSTENIBLE
</t>
  </si>
  <si>
    <t xml:space="preserve"> Ordenamiento del Territorio y espacio público.
</t>
  </si>
  <si>
    <t>INSTRUMENTOS DE PLANIFICACIÓN TERRITORIAL</t>
  </si>
  <si>
    <t xml:space="preserve"> Control Urbanístico y Territorial
</t>
  </si>
  <si>
    <t xml:space="preserve"> Cartagena Amigable con el Ambiente 
</t>
  </si>
  <si>
    <t>GENERACIÓN DE ESPACIOS PÚBLICOS REVITALIZADOS Y ADAPTADOS PARA TODOS</t>
  </si>
  <si>
    <t xml:space="preserve"> Cartagena Adaptada al Clima y Resiliente a los Desastres
</t>
  </si>
  <si>
    <t>ORDENAMIENTO Y SOSTENIBILIDAD AMBIENTAL</t>
  </si>
  <si>
    <t>REDUCCIÓN DEL RIESGO</t>
  </si>
  <si>
    <t>PROTECCIÓN COSTERA</t>
  </si>
  <si>
    <t xml:space="preserve">Ciudad Histórica y Patrimonial
</t>
  </si>
  <si>
    <t>SOSTENIBILIDAD DEL ESPACIO PÚBLICO DEL CENTRO HISTÓRICO DE CARTAGENA DE INDIAS.</t>
  </si>
  <si>
    <t xml:space="preserve">Infraestructura, Movilidad Sostenible y Accesibilidad para Todos
</t>
  </si>
  <si>
    <t>SOLUCIONES VIALES PARA LA COMPETITIVIDAD A TRAVÉS DE CONTRIBUCIÓN POR VALORIZACIÓN</t>
  </si>
  <si>
    <t xml:space="preserve">Cartagena Ordenada Alrededor del Agua
</t>
  </si>
  <si>
    <t>GESTIÓN Y CONSERVACIÓN DEL AGUA</t>
  </si>
  <si>
    <t>RECUPERACIÓN DEL SISTEMA DE CANALES Y DRENAJES PLUVIALES</t>
  </si>
  <si>
    <t xml:space="preserve"> Integración Regional y Metropolitana
</t>
  </si>
  <si>
    <t xml:space="preserve"> INNOVACIÓN PÚBLICA Y PARTICIPACIÓN CIUDADANA
</t>
  </si>
  <si>
    <t>PROCESOS ADMINISTRATIVOS ÓPTIMOS Y TRANSPARENTES</t>
  </si>
  <si>
    <t>TRANSPARENCIA Y LUCHA CONTRA LA CORRUPCIÓN</t>
  </si>
  <si>
    <t>CARTAGENA DIGITAL, INCLUSIVA Y CONECTADA</t>
  </si>
  <si>
    <t xml:space="preserve">Fortalecimiento Institucional e Innovación Administrativa
</t>
  </si>
  <si>
    <t>MEJORA NORMATIVA EN EL DISTRITO DE CARTAGENA DE INDIAS</t>
  </si>
  <si>
    <t>PATRIMONIO PÚBLICO AL SERVICIO DE CARTAGENA</t>
  </si>
  <si>
    <t xml:space="preserve"> Finanzas Públicas
</t>
  </si>
  <si>
    <t xml:space="preserve">Cultura Ciudadana
</t>
  </si>
  <si>
    <t>CIUDADANÍA DIVERSA, PARTICIPATIVA Y PROPULSORA DEL DESARROLLO</t>
  </si>
  <si>
    <t>CARTAGENEIDAD CON ORGULLO Y ESPLENDOR</t>
  </si>
  <si>
    <t>CARTAGENA BRILLA CON CULTURA CIUDADANA</t>
  </si>
  <si>
    <t>ESCUELA DE GOBERNANZA E INNOVACIÓN PÚBLICA</t>
  </si>
  <si>
    <t xml:space="preserve">Participación Ciudadana y Acción Comunal
</t>
  </si>
  <si>
    <t>PRESUPUESTO PARTICIPATIVO</t>
  </si>
  <si>
    <t>PARTICIPANDO DECIDIMOS Y AVANZAMOS</t>
  </si>
  <si>
    <t xml:space="preserve">Sistema de Planeación Distrital
</t>
  </si>
  <si>
    <t>DESCENTRALIZACIÓN ADMINISTRATIVA</t>
  </si>
  <si>
    <t xml:space="preserve"> Fortalecimiento al Desarrollo Afro-Territorial de la Población Negra, Afrocolombiana, Raizal y Palenquera
</t>
  </si>
  <si>
    <t xml:space="preserve">Territorio Sitio de Paz y Pensamiento Colectivo
</t>
  </si>
  <si>
    <t>TERRITORIO PROPIO</t>
  </si>
  <si>
    <t>ATENCIÓN INTEGRAL PARA LAS COMUNIDADES INDÍGENAS</t>
  </si>
  <si>
    <t>MUJER INDÍGENA, FAMILIA Y GENERACIÓN DE INGRESOS</t>
  </si>
  <si>
    <t xml:space="preserve">CAPÍTULO DE LOS PUEBLOS Y COMUNIDADES ÉTNICAS
</t>
  </si>
  <si>
    <t>COMPONENTE IMPULSOR DE AVANCE</t>
  </si>
  <si>
    <t>PROGRAMAS EN ESTADO DE CUMPLIMIENTO BAJO O MUY BAJO.</t>
  </si>
  <si>
    <t xml:space="preserve">Transparencia y Gobierno Abierto
</t>
  </si>
  <si>
    <t>Para el reporte de diciembre, se desprogramó esta meta producto. Entonces para el ultico corte, se desprograma a cero</t>
  </si>
  <si>
    <t>AVANCE  NUMERICO META PRODUCTO  CORTE DICIEMBRE 2024</t>
  </si>
  <si>
    <t>LOGRO  (%) META PRODUCTO RESPECTO AL PROGRAMADO CUATRIENIO PARCIAL DICIEMBRE 2024</t>
  </si>
  <si>
    <t>LOGRO  (%) META PRODUCTO RESPECTO AL PROGRAMADO CUATRIENIO PARCIAL DICIEMBRE 2024 (PONDERADOR)</t>
  </si>
  <si>
    <t>REVISADO DIC 2024</t>
  </si>
  <si>
    <t>REPORTAN 4 A CORTE DICIEMBRE, CUANDO A 15 DE SEPTIEMBRE ERAN 8.</t>
  </si>
  <si>
    <t xml:space="preserve">REVISADO DIC 2024. </t>
  </si>
  <si>
    <t>REVISADO DIC 2024. La Gerencia de Espacio Publico la desprogramó para el 2024</t>
  </si>
  <si>
    <t>No programado por ETCAR ni por la Gerencia de espacio publico y movilidad GEPM para la vigencia 2024</t>
  </si>
  <si>
    <t xml:space="preserve">ESCUELA TALLER CARTAGENA DE INDIAS -  - GERENCIA DE ESPACIO PÚBLICO Y MOVILIDAD -  IDER
SECRETARÍA DE INFRAESTRUCTURA
</t>
  </si>
  <si>
    <t>REVISADO DIC 2024. La Gerencia de Espacio Publico la desprogramó para el 2024 y el DATT tampoco programó para la misma vigencia</t>
  </si>
  <si>
    <t>REVISADO DIC 2024. La Gerencia de Espacio Publico la desprogramó para el 2024. El DATT tampoco programó para la vigencia</t>
  </si>
  <si>
    <t>REVISADO DIC 2024. No programado  por el DATT para la vigencia 2024</t>
  </si>
  <si>
    <t>REVISADO DIC 2024. DESPROGRAMADO PARA LA VIGENCIA EN EL ULTIMO REPORTE</t>
  </si>
  <si>
    <t>REVISADO DIC 2024. Reportada por la IDACCC por 0,45</t>
  </si>
  <si>
    <t>REVISADO DIC 2024. Reportada por la IDACCC por 0,46</t>
  </si>
  <si>
    <t>Programas ajsutado en el cuatrienio, por tener solo dos metas producto programadas</t>
  </si>
  <si>
    <t>SE ESPERA PROGRAMAR PARA LAS VIGENCIAS 2025, 2026 Y 2027 POR PARTE DEL DADIS</t>
  </si>
  <si>
    <t>REVISAR CON ENLACE, YA QUE EL REPORTE  DEBE CONFIRMAR SUPERACIÓN DE LA META</t>
  </si>
  <si>
    <t>REVISAR CON ENLACE</t>
  </si>
  <si>
    <t>Se ajustan los esperado y los avances para eliminar el sesgo de los los no programados (Se colocaron 0% en los esperados como los no programados para la vigencia)</t>
  </si>
  <si>
    <t>REVISADO DIC 2024.  VERIFICAR PLAN DE ACCIÓN  2025</t>
  </si>
  <si>
    <t>Esta meta es compartida entre Gestión de Riesgo e Infraestructura y esta ultima reporta 6 de 5 que programó. PARA DICIEMBRE 2024 GESTION DE RIESGO PROGRAMÓ 2 Y EJECUTÓ 2. A DICIEMBRE SEC DE INFRAESTRUCTURA REPORTA ACUMUALDO DE 6</t>
  </si>
  <si>
    <t>REVISADO DIC 2024. REPORTADO POR SEC DE HACIENDA</t>
  </si>
  <si>
    <t xml:space="preserve">SECRETARÍA DEL INTERIOR Y CONVIVENCIA CIUDADANA
DISTRISEGURIDAD
ESTABLECIMIENTO PÚBLICO AMBIENTAL (FRANCISCO CASTILLO)
OFICINA ASESORA PARA LA GESTIÓN DEL RIESGO DE DESASTRES
GERENCIA DE ESPACIO PÚBLICO Y MOVILIDAD
</t>
  </si>
  <si>
    <t>Implementar cinco (5) estrategias de educación ambiental (PRAES, IDAU, PROCEDA, SOCIOEDUCACIÓN, ICEA)</t>
  </si>
  <si>
    <t>SECRETARÍA GENERAL  - ACUACAR -  SECRETARÍA DE PLANEACIÓN</t>
  </si>
  <si>
    <t>PROGRAMADO NUMERICO META PRODUCTO 2025</t>
  </si>
  <si>
    <t>ESPERADO PORCENTUAL META PRODUCTO CUATRIENIO EN LA VIGENCIA 2025</t>
  </si>
  <si>
    <t>ESPERADO PORCENTUAL META PRODUCTO CUATRIENIO EN LA VIGENCIA 2025 (PONDERADOR)</t>
  </si>
  <si>
    <t>AVANCE  NUMERICO META PRODUCTO  CORTE MARZO 2025</t>
  </si>
  <si>
    <t>AVANCE  NUMERICO META PRODUCTO  CORTE SEPTIEMBRE 2025</t>
  </si>
  <si>
    <t>AVANCE  NUMERICO META PRODUCTO  CORTE JUNIO 2025</t>
  </si>
  <si>
    <t>ACUMULADO PARCIAL 2025</t>
  </si>
  <si>
    <t>ACUMULADO PARCIAL 2025 MAS ACUMULADO TOTAL 2024</t>
  </si>
  <si>
    <t>OBSERVACIONES DICIEMBRE 2025</t>
  </si>
  <si>
    <t>LOGRO  (%) META PRODUCTO RESPECTO AL PROGRAMADO CUATRIENIO  ACUMULADO DICIEMBRE  2024</t>
  </si>
  <si>
    <t>OBSERVACIONES MARZO 2025</t>
  </si>
  <si>
    <t>REVISAR CUANDO SE PROGRAME Y REPORTE PARA EL 2025</t>
  </si>
  <si>
    <t>REVISAR ESTA META CUMPLIDA PARA EL CUATRENIO</t>
  </si>
  <si>
    <t>REVISAR CUANDO SE CALCULE EL AVANCE DE ESTE PROGRAMA</t>
  </si>
  <si>
    <t>REVISAR CUANDO SE CALCULE EL AVANCE DE ESTE PROGRAMA SEGÚN LO QUE SE PROGRAME EN LOS PROGRAMAS NO PROGRAMADOS EN EL 2024</t>
  </si>
  <si>
    <t>REVISAR CUANDO SE REPORTE EL ULTIMO COMPONENTE IMPULSOR DE AVANCE</t>
  </si>
  <si>
    <t>REVISAR AL MOMENTO DE REPORTE SEGÚN LOS PROGRAMAS QUE NO SE PROGRAMARON EN EL 2024</t>
  </si>
  <si>
    <t>REVISAR AL MOMENTO DE REPORTE SEGÚN LOS PROGRAMAS QUE NO SE PROGRAMARON EN EL 2024, QUE EN EL 2024 ERAN 4 DE 8 DEL COMPONENTE</t>
  </si>
  <si>
    <t>REVISADO MARZO 2025. EL RESULTADO ACUMULADO SE AJUSTA CADA TRIMESTRE</t>
  </si>
  <si>
    <t xml:space="preserve">REVISADO MARZO 2025. </t>
  </si>
  <si>
    <t>REVISADO MARZO 2025</t>
  </si>
  <si>
    <t>REVISADO MARZO 2026</t>
  </si>
  <si>
    <t>REVISADO MARZO 2027</t>
  </si>
  <si>
    <t>REVISADO GEPM 2025 - REVISAR CON LOS REPORTES DE LAS DEMAS DEPENDENCIAS</t>
  </si>
  <si>
    <t>REVISADO MARZO 2028</t>
  </si>
  <si>
    <t>REVISAR PORQUE ESTA META YA SE CUMPLIÓ EN EL 2024</t>
  </si>
  <si>
    <t xml:space="preserve">REVISAR CON ENLACE EL REPORTE, EL INDICADOR Y EL PROGRAMADO PARA LA VIGENCIA </t>
  </si>
  <si>
    <t>REVISAR CON ENLACES PARA QUE ARTICULEN EL PROGRAMADO Y EL REPORTE, YA QUE DATT PROGRAMÓ 10 Y GEPM 4 PARA LA VIGENCIA 2024. PARA MARZO 2025 SOLO REPORTÓ GEPM 0,1, DATT NO REPORTA</t>
  </si>
  <si>
    <t>REVISAR CON ENLACES PARA QUE ARTICULEN EL PROGRAMADO Y EL REPORTE, YA QUE DATT PROGRAMÓ 5 Y GEPM 4 PARA LA VIGENCIA 2024. PARA MARZO 2025 SOLO REPORTÓ GEPM 0,1, DATT NO REPORTA</t>
  </si>
  <si>
    <t>REVISADO MARZO  2025</t>
  </si>
  <si>
    <t xml:space="preserve">REVISAR CON ENLACE, YA QUE NO SE INCLUYÓ EN EL PLAN DE ACCIÓN </t>
  </si>
  <si>
    <t>REVISAR CON ENLACE ESTA META NO ESTÁ INSCRITA EN EL PLAN DE ACCIÓN  2025</t>
  </si>
  <si>
    <t>ESTA  META LA REPORTAN DOS DEPENDENCIAS, HACIENDA PROGRAMÓ 1 Y SEC DE PLANEACIÓN 0,25; ESTA ULTIMA REPORTA A MARZO 0,05 Y HACIENDA, NO REPORTA</t>
  </si>
  <si>
    <t>ESTA  META LA REPORTAN DOS DEPENDENCIAS, HACIENDA NO PROGRMÓ Y SEC DE PLANEACIÓN 0,25; ESTA ULTIMA REPORTA A MARZO 0,05</t>
  </si>
  <si>
    <t>REVISADO DIC 2025</t>
  </si>
  <si>
    <t>META CUMPLIDA MARZO 2025</t>
  </si>
  <si>
    <t>REVISAR CALCULO DE AVANCE CON ENLACE</t>
  </si>
  <si>
    <t>REVISAR CON ENLACE YA QUE DA POR CUMPLIDA ESTA META CUANDO AUN FALTA PARA EL 100%</t>
  </si>
  <si>
    <t>REVISAR CON ENLACE LA META NUMERICA DEL CUATRIENIO</t>
  </si>
  <si>
    <t>REVISAR CON ENLACE, YA QUE ESTA META SE PROGRAMÓ EN 2024 Y EN EL REPORTE APARECE COMO ACUMUALDO CERO</t>
  </si>
  <si>
    <t xml:space="preserve">REVISAR ACUMULADO CUATRIENIO CON ENLACE </t>
  </si>
  <si>
    <t>REVISAR CON ENLACE YA QUE NO SE PROGRAMÓ PARA 2025</t>
  </si>
  <si>
    <t>REVISAR CON ENLACE YA QUE EL PROGRAMADO CUATRIENIO DEBE SER 20 Y EN EL PLAN DE ACCIÓN  EL PRROGRAMADO CUATRIENIO ES SOLO 5</t>
  </si>
  <si>
    <t>SE COLOCA ACUMULADO CUATRIENIO MANUAL HASTA  QUE SE REPORTE AVANCE DE LA PRIMERA Y SEGUNDA META PRODUCTO.</t>
  </si>
  <si>
    <t>REVISAR CON ENLACE YA QUE EL PROGRAMADO PARA LA VIGENCIA  2025 DEBE SER EN NUEMRIO Y LO TIENE EN PORCENTAJE</t>
  </si>
  <si>
    <t>SE AJUSTA CADA TRIMESTRE SEGÚN AVANCE REPORTADO</t>
  </si>
  <si>
    <t>SE INCLUYE EL AVANCE CUANDO EMPEICEN A REPORTAR EN LOS SIGUIENTES TRIMESTRES DEL 2025, YA QUE PARA MARZO 2025 NO HAY REPORTE</t>
  </si>
  <si>
    <t>SE INCLUYE EL AVANCE CUANDO EMPIECEN A REPORTAR EN LOS SIGUIENTES TRIMESTRES DEL 2025, YA QUE PARA MARZO 2025 NO HAY REPORTE</t>
  </si>
  <si>
    <t>REVISADO MARZO 2025. SE INCLUYE AVANCE CERO  EN MARZO 2025, PARA COMPENSAR REPORTE ACUMULADO DEL PROGRAMA A DICIEMBRE 2024</t>
  </si>
  <si>
    <t>REVISAR EL PROGRAMADO NUMERICO PARA EL 2025, YA QUE SEGÚN EL PLAN DE ACCIÓN SE´RIA 0,5. ADEMAS DE INCLUIR EL REPORTE DE ACUMULADO CUANDO REPORTEN EN LOS SIGUIENTES TRIMESTRESDE 2025</t>
  </si>
  <si>
    <t>SE INCLUYE EL AVANCE EN CERO PARA AJUSTAR EL ACUMULADO DEL PROGRAMA A CORTE MARZO 2025 HASTA QUE SE REPORTEN LOS SIGUIENTES TRIMESTRES LOS AVANCES</t>
  </si>
  <si>
    <t>REVISAR CON EL ENLACE YA QUE NO SE REPORTA NI PROGRAMADO NI AVANCE A MARZO 2025</t>
  </si>
  <si>
    <t>REVISAR CON EL ENLACE YA QUE NO SE REPORTA NI PROGRAMADO NI AVANCE A MARZO 2026</t>
  </si>
  <si>
    <t>REVISAR CON ENLACE YA QUE PROGRAMA  18 PARA LA VIGENCIA 2025,CUANDO ESTA ES LA MISMA META CUATRIENIO Y YA TIENE UN ACUMULADO DE 2  A DICIEMBRE DE 2024</t>
  </si>
  <si>
    <t>REVISAR CON ENLACE, YA QUE NO SE AJUSTA LA META ACUMULADA CON LA QUE ESTÁ REPORTADA A DICIEMBRE 2024 Y PORQUE TAMPOCO COINCIDE CON EL PROGRAMADO</t>
  </si>
  <si>
    <t>REVISAR EL PROGRAMDO Y AVANCE REPORTADO A MARZO 2025</t>
  </si>
  <si>
    <t>REVISAR EL PROGRAMADO Y AVANCE REPORTADO A MARZO 2025</t>
  </si>
  <si>
    <t>REVISAR EL PROGRAMADO Y AVANCE REPORTADO A MARZO 2025. PORQUE APARACE COMO CUMPLIDA A DICIEMBRE 2024</t>
  </si>
  <si>
    <t>SE INCLUYE EL AVANCE EN CERO PARA AJUSTAR EL ACUMULADO DEL PROGRAMA A CORTE MARZO 2025 HASTA QUE SE REPORTEN LOS SIGUIENTES TRIMESTRES LOS AVANCES. ADEMAS, SE INCLUYE EL PROGRAMADO POR LA SECRETARÍA DE PARTICIPACION PARA LA VIGENCIA 2025 EN MARZO EN 15</t>
  </si>
  <si>
    <t>SECRETARÍA DE PARTICIPACIÓN - SECRETARÍA DEL INTERIOR Y CONVIVENCIA CIUDADANA</t>
  </si>
  <si>
    <t>REVISAR CON ENLACE YA QUE NO PROGRAMÓ PARA LA VIGENCIA Y REPORTA EN MARZO 25 EN EL 2025</t>
  </si>
  <si>
    <t xml:space="preserve"> GEPM - SECRETARÍA DE HACIENDA - SECRETARÍA DE PARTICIPACIÓN Y DESARROLLO SOCIAL</t>
  </si>
  <si>
    <t>AJUSTADO CADA TRIMESTRE. SE ABREN CUPOS POR 80, POR LO TANTO PARA EFECTOS DE SEGUIMIENTO SE DISTRIBUYEN 20 POR CADA TRIMESTRE</t>
  </si>
  <si>
    <t>PROGRAMADO VIGENCIA  2025</t>
  </si>
  <si>
    <t>REVISADO MARZO 2025. LA ULTIMA META PRODUCTO SE INCLUYE AL MOMENTO DEL REPORTE EN LA VIGENICIA 2025</t>
  </si>
  <si>
    <t>REVISADO MARZO 2025. SE INCLUYE EL ACUMULADO AL MOMENTO DE REPORTE DE LA META EN LA VIGENCIA 2025</t>
  </si>
  <si>
    <t>REVISADO MARZO 2025. SE EMPIEZA  A CONTABILIZAR AL MOMENTO DE REPORTAR EN EL TRIMESTRE 2025</t>
  </si>
  <si>
    <t>REVISAR SI SECRETARÍA DEL INTERIOR PROGRAMÓ PARA EL 2025, YA QUE EL INSTITUTO COMUNAL NO PROGRAMÓ PARA ESTA VIGENCIA</t>
  </si>
  <si>
    <t>REVISAR CON ENLACE, YA QUE ESTA META LA REPORTARON COMO LOGARADA LA VIGENCIA ANTERIOR</t>
  </si>
  <si>
    <t>REVISAR CON ENLACE, YA QUE ESTA META LA REPORTARON COMO LOGARADA LA VIGENCIA ANTERIOR POR CORPOTURISMO</t>
  </si>
  <si>
    <t>REVISAR EL CALCULO DEL AVANCE, YA QUE TIENE 25% ACUMULADO CUATRIENIO Y DEBE SER 31,5% A CORTE MARZO 2025</t>
  </si>
  <si>
    <t>META CUMPLIDA DICIEMBRE 2024</t>
  </si>
  <si>
    <t>REVISADO MARZO  2025. SE LES INCLUYE CERO EN EL ACUMULADO PARA EQUILIBARA EL CALCULO, HASTA QUE REPORTEN EN LOS SIGUIENTES TRIMESTRES DEL 2025</t>
  </si>
  <si>
    <t>REVISADO MARZO  2025. SE LES INCLUYE CERO EN EL ACUMULADO PARA EQUILIBAR EL CALCULO, HASTA QUE REPORTEN EN LOS SIGUIENTES TRIMESTRES DEL 2025</t>
  </si>
  <si>
    <t>REVISADO MARZO  2025. SE LES INCLUYE CERO EN EL ACUMULADO PARA EQUILIBAR EL CALCULO, HASTA QUE REPORTEN EN LOS SIGUIENTES TRIMESTRES DEL 2026</t>
  </si>
  <si>
    <t>REVISADO MARZO  2025. SE LES INCLUYE CERO EN EL ACUMULADO PARA EQUILIBAR EL CALCULO, HASTA QUE REPORTEN EN LOS SIGUIENTES TRIMESTRES DEL 2027</t>
  </si>
  <si>
    <t>REVISAR CON ENLACE PORQUE SE AJUSTÓ EL AVANCE CUATRENIO. AJUSTAR EL AVANCE DEL AÑO 2025 PARCIALMENTE</t>
  </si>
  <si>
    <t>AJUSTADO EN SU ACUMUALDO CUATRIENIO A CORTE MATRZO 2025 DEL REPORTE DE DICIEMBRE DE 2024</t>
  </si>
  <si>
    <t>REVISAR CON ENLACELA META DE CUATRIENIO</t>
  </si>
  <si>
    <t>REVISAR YA QUE NO HAY PROGRAMACIÓN PARA LA VIGENCIA 2025</t>
  </si>
  <si>
    <t>META LOGRADA DICIEMBRE 2024</t>
  </si>
  <si>
    <t>REVISAR CON ENLACE, ESTA META PRODUCTO APARECE EN EL PLAN DE ACCIÓN A CORTE MARZO 2025 EN LA LINEA ESTRATEGICA DE DESARROLLO ECONOMICO Y CON OTRO PROGRAMA</t>
  </si>
  <si>
    <t>SE AJUSTA EN CADA CALCULO DE ACUMULADO CUATRIENIO YA QUE LA META CUATRIENIO NO ES 1200 SINO 262</t>
  </si>
  <si>
    <t>SE INCLUYE EL REPORTE EN CERO PARA EQUILIBRAR EL CALCULO DEL CUATRIENIO. AL MOMENTO DE LOS REPORTES TRIMESTRALES DE LA VIGENCIA 2025 SE AJUSTA AUTOMATICAMENTE</t>
  </si>
  <si>
    <t>REVISAR CON ENLACE, YA QUE ESTA META LA COLOCA COMO LOGRADA EN EL CUATRIENIO, CUANDO ES DE MANTENIMIENTO DE 300 CADA AÑO</t>
  </si>
  <si>
    <t>REVISAR EL REPORTE 2025 A MARZO, EL PROGRAMADO DE LA VIGENCIA 2025, EL PROGRAMADO DE LA VIGENCIA 2024 QUE NO COINCIDE CON EL REPORTE A MARZO 2025</t>
  </si>
  <si>
    <t>ESTA META PRODUCTO SE EMPEZARÁ A ACUMULAR DE ACUERDO A LOS AVANCES REPORTADOS  A LO LARGO DEL AÑO 2025. REVISAR EL PROGRAMADO REPORTADO A CORTE MARZO 2025, YA QUE NO COINCIDE CON EL SEGUIMIENTO DEL PLAN DE ACCIÓN A DICIEMBRE 2024</t>
  </si>
  <si>
    <t>REVISAR EL PROGRAMADO REPORTADO A CORTE MARZO 2025, YA QUE NO COINCIDE CON EL SEGUIMIENTO DEL PLAN DE ACCIÓN A DICIEMBRE 2024. TAMBIEN, REVISAR EL PROGRAMADO PARA LA VIGENCIA 2025</t>
  </si>
  <si>
    <t xml:space="preserve">REVISAR EL PROGRAMADO REPORTADO A CORTE MARZO 2025, YA QUE NO COINCIDE CON EL SEGUIMIENTO DEL PLAN DE ACCIÓN A DICIEMBRE 2024. </t>
  </si>
  <si>
    <t>SE AJUSTA EL ACUMULADO CUATRIENIO EN MARZO 2025 YA QUE SE CORRIGIÓ LA META CUATRIENIO A  879.</t>
  </si>
  <si>
    <t>META CUMPLIDA. PERO REVISAR PORQUE LA PROGRAMARON PARA EL 2025</t>
  </si>
  <si>
    <t>META CUMPLIDA. PERO REVISAR PORQUE SE PROGRAMARON 5 PARA LA VIGENCIA 2025</t>
  </si>
  <si>
    <t>NO PROGRAMADA PARA VIGENCIA 2025</t>
  </si>
  <si>
    <t xml:space="preserve">REVISAR CON ENLACE YA QUE EL AVANCE DEL PROGRAMA DEBE AJUSTARSE PARA QUE NO SE VAYA A SESGAR POR EL AVANCE DE UNA SOLA META, POR LO TANTO SE LE COLOCA DE MANERA IMPLICITA: 25% A LAS TRES METAS PRODUCTO QUE NO SE PROGRAMARON COMO AVANCE DEL CUATRIENIO AUNQUE ESTAS NO SE INCLUYAN. DE ESA MANERA SE EQUILIBRA </t>
  </si>
  <si>
    <t>REVISAR EL  PROGRAMADO DEL PROGRAMA  "FORTALECIMIENTO INSTITUCIONAL DE RENTA CIUDADANA, RENTA JOVEN Y COLOMBIA MAYOR PARA LA SUPERACIÓN DE LA POBREZA EXTREMA".</t>
  </si>
  <si>
    <t xml:space="preserve"> PARA EL AÑO 2024  ERAN 5 PROGRAMAS PROGRAMADOS, PARA EL 2025 SON 6 CON EL DE  MEMORIA Y PATRIMONIO AL SERVICIO DE LA CIUDADANÍA, QUE SE INCLUIRÁ COMO PROGRAMA 6 DEL DENOMINADOR CUANDO SE REPORTEN EN LA VIGENCIA PRESENTE</t>
  </si>
  <si>
    <t>SE INCLUYE EL AVANCE DEL PROGRAMA CUANDO EMPIECEN A REPORTAR EN LOS SIGUIENTES TRIMESTRES DEL 2025, YA QUE PARA MARZO 2025 NO HAY REPORTE</t>
  </si>
  <si>
    <t>PROGRAMADO CORTE  2025 RESPECTO AL CUATRIENIO 2024 -2027 (PONDERADOR)</t>
  </si>
  <si>
    <t>LOGRO ALCANZADO DICIEMBRE RESPECTO AL CUATRIENIO (PONDERADOR) 2024</t>
  </si>
  <si>
    <t>REVISADO MARZO 2025. NO PROGRAMADO POR VALORIZACIÓN, PERO SEC DE INFRAESTRUCTURA PROGRAMÓ 0,12 PARA LA VIGENCIA 2025. PERO REVISRA YA QUE EN EL PLAN DE ACCIÓN DE SEC DE INFRAESTRUCTRURA APARECE COMO CUMPLIDA AL 100%</t>
  </si>
  <si>
    <t>REVISADO MARZO 2025. GESTION DE RIESGO PROGRAMÓ 2 Y SEC DE INFRAESTRUCTURA 4 PARA LA VIGENCIA 2025 Y QUE PARA MARZO 2025 REPORTA EJECUCIÓN DE 3</t>
  </si>
  <si>
    <t>REVISAR CON ENLACE YA QUE EN EL ACUMUALDO DEL REPORTE A MARZO 2025 PRESENTA 6 Y EN EL ACUMUALDO DE DICIEMBRE 12</t>
  </si>
  <si>
    <t>REVISAR CON ENLACE YA QUE ESTA META PRODUCTO SE CUMPLIÓ</t>
  </si>
  <si>
    <t>AVANCE ESPERADO ACUMULADO CUATRIENIO 2024 - 2025</t>
  </si>
  <si>
    <t xml:space="preserve">REVISAR CON ENLACE </t>
  </si>
  <si>
    <t>ACUMULADO DICIEMBRE 2024</t>
  </si>
  <si>
    <t>ESPERADO A DICIEMBRE 2025</t>
  </si>
  <si>
    <t>ESPERADO PARCIAL POR TRIMESTRE 2025</t>
  </si>
  <si>
    <t>AVANCE ENERO - MARZO 2025</t>
  </si>
  <si>
    <t>DEFICIT O SUPERAVIT ENTRE ENERO - MARZO 2025</t>
  </si>
  <si>
    <t>LOGRO (%) RESPECTO AL PROGRAMADO PARA LA VIGENCIA 2025</t>
  </si>
  <si>
    <t>SE INCLUYE EN EL CALCULO DEL CUATRIENIO DEL COMPONENTE IMPULSO, AL MOMENTO DE EMPEZAR A REPORTAR</t>
  </si>
  <si>
    <t>ESPERADO ACUMULADO A  DICIEMBRE 2025</t>
  </si>
  <si>
    <t>ESPERADO ACUMULADO CUATRIENIO A DICIEMBRE 2025</t>
  </si>
  <si>
    <t>ESPERADO  AL CUATRIENIO CORTE DICIEMBRE 2025</t>
  </si>
  <si>
    <t>LOGRO VIGENCIA  CORTE DICIEMBRE  2024 RESPECTO AL CUATRIENIO</t>
  </si>
  <si>
    <t>ESPERADO VIGENCIA  2025  RESPECTO AL CUATRIENIO</t>
  </si>
  <si>
    <t>AULA GLOBAL</t>
  </si>
  <si>
    <t xml:space="preserve">AVANCE  CORTE DICIEMBRE  2024 RESPECTO AL CUATRIENIO </t>
  </si>
  <si>
    <t>AVANCE TRIEMSTRE ABRIL - JUNIO 2025</t>
  </si>
  <si>
    <t>AVANCE TRIEMSTRE JULIO - SEPTIEMBRE 2026</t>
  </si>
  <si>
    <t>AVANCE TRIEMSTRE OCTUBRE - DCIIEMBRE  2027</t>
  </si>
  <si>
    <t>SE INCLUYE CUANDO SE AVALEN LA CIFRA CON LA SED</t>
  </si>
  <si>
    <t>SECRETARÍA DE INFRAESTRUCTURA - EPA- SECRETARÍA DE PLANEACIÓN</t>
  </si>
  <si>
    <t>REVISAR PROGRAMADO PARA EL 2025 Y ACUMULADO DEL 2024 YA QUE NO COINCIDE CON EL REPORTADO EN EL 2024</t>
  </si>
  <si>
    <t>REVISAR CUANDO SE CALCULE EL AVANCE DE ESTE PROGRAMA PARA SACAR EL PROMEDIO MAXIMO ENTFRE LOS PROGRAMADO EN EL 2024 Y EL 2025 CON EL MAXIMO REPORTADO.</t>
  </si>
  <si>
    <t>COMPONENTE AJUSTADO</t>
  </si>
  <si>
    <t>PROGRAMA AJUSTADO</t>
  </si>
  <si>
    <t>CAPÍTULO DE LOS PUEBLOS Y COMUNIDADES ÉTNICAS</t>
  </si>
  <si>
    <t>Fortalecimiento al Desarrollo Afro-Territorial de la Población Negra, Afrocolombiana, Raizal y Palenquera</t>
  </si>
  <si>
    <t>DESARROLLO HUMANO Y BIENESTAR SOCIAL DE LAS COMUNIDADES NEGRAS, AFROCOLOMBIANAS, RAIZALES Y PALENQUERAS</t>
  </si>
  <si>
    <t>Valor Absoluto</t>
  </si>
  <si>
    <t>Territorio Sitio de Paz y Pensamiento Colectivo</t>
  </si>
  <si>
    <t>GOBERNANZA Y PARTICIPACIÓN DE LAS COMUNIDADES NEGRAS AFROCOLOMBIANAS, RAIZALES Y PALENQUERAS PARA EL FORTALECIMIENTO DE LA DEMOCRACIA EN EL DISTRITO</t>
  </si>
  <si>
    <t>SECRETARÍA DEL INTERIOR Y CONVIVENCIA CIUDADANA
SECRETARÍA GENERAL</t>
  </si>
  <si>
    <t>SECRETARÍA DEL INTERIOR Y CONVIVENCIA CIUDADANA
SECRETARÍA GENERAL
SECRETARÍA DEL INTERIOR Y CONVIVENCIA CIUDADANA</t>
  </si>
  <si>
    <t>Programa para participación ciudadana de las comunidades Negra, Afrocolombiana, Raizales y Palenquera en estrategia de SEGURIDAD HUMANA creado e implementado</t>
  </si>
  <si>
    <t>Crear e implementar un (1) Programa para Participación Ciudadana de las Comunidades Negra, Afrocolombiana, Raizales y Palenquera, en la estrategia de SEGURIDAD HUMANA</t>
  </si>
  <si>
    <t>DESARROLLO LOCAL SOSTENIBLE Y PROSPERIDAD COLECTIVA EN LOS TERRITORIOS DE LAS COMUNIDADES NEGRAS DEL DISTRITO DE CARTAGENA</t>
  </si>
  <si>
    <t>SECRETARÍA DE TURÍSMO
SECRETARÍA DEL INTERIOR Y CONVIVENCIA CIUDADANA</t>
  </si>
  <si>
    <t>SECRETARÍA GENERAL
SECRETARÍA DEL INTERIOR Y CONVIVENCIA CIUDADANA</t>
  </si>
  <si>
    <t>Subsidios para mejoramiento de vivienda otorgados a miembros de los cabildos indígenas_x000D_
ubicados en el Distrito</t>
  </si>
  <si>
    <t>LÍNEA ESTRATÉGICA</t>
  </si>
  <si>
    <t>Avance Plan de Desarrollo</t>
  </si>
  <si>
    <t>IMPULSOR DE AVANCE</t>
  </si>
  <si>
    <t>Avance del Impulsor</t>
  </si>
  <si>
    <t>PROGRAMA</t>
  </si>
  <si>
    <t>Avance del programa</t>
  </si>
  <si>
    <t>PRODUCTO</t>
  </si>
  <si>
    <t>META PRODUCTO</t>
  </si>
  <si>
    <t>ENTIDAD RESPONSABLE</t>
  </si>
  <si>
    <t>TIPO DE AVANCE</t>
  </si>
  <si>
    <t>CIUDAD CONECTADA Y SOSTENIBLE</t>
  </si>
  <si>
    <t>Ciudad Histórica y Patrimonial</t>
  </si>
  <si>
    <t>CONEXIÓN ENTRE EL CASTILLO DE SAN FELIPE DE BARAJAS Y SU ÁREA DE INFLUENCIA PARA LA RECUPERACIÓN DEL PATRIMONIO ARQUEOLÓGICO, MATERIAL E INMATERIAL</t>
  </si>
  <si>
    <t>ESCUELA TALLER CARTAGENA DE INDIAS
GERENCIA DE ESPACIO PÚBLICO Y MOVILIDAD
SECRETARÍA DE INFRAESTRUCTURA</t>
  </si>
  <si>
    <t>ESCUELA TALLER CARTAGENA DE INDIAS
GEPM (GERENCIA DE ESPACIO PÚBLICO Y MOVILIDAD)
IDER
SECRETARÍA DE INFRAESTRUCTURA</t>
  </si>
  <si>
    <t>ESCUELA TALLER CARTAGENA DE INDIAS
GEPM (GERENCIA DE ESPACIO PÚBLICO Y MOVILIDAD)
SECRETARÍA DE INFRAESTRUCTURA</t>
  </si>
  <si>
    <t>Infraestructura, Movilidad Sostenible y Accesibilidad para Todos</t>
  </si>
  <si>
    <t>INTERVENCIONES URBANAS INTEGRALES</t>
  </si>
  <si>
    <t>Cartagena Ordenada Alrededor del Agua</t>
  </si>
  <si>
    <t>GESTIÓN DEL TERRITORIO MARINO-COSTERO</t>
  </si>
  <si>
    <t>SECRETARÍA DE PLANEACIÓN
CORVIVIENDA</t>
  </si>
  <si>
    <t>REHABILITACIÓN, MANTENIMIENTO, ADECUACIÓN, Y OBRA NUEVA PARA EL SISTEMA VIAL Y ESTRUCTURAS DE PASO</t>
  </si>
  <si>
    <t>MOVILIDAD ORDENADA, SOSTENIBLE Y AMIGABLE CON EL MEDIO AMBIENTE</t>
  </si>
  <si>
    <t>DATT
GEPM (GERENCIA DE ESPACIO PÚBLICO Y MOVILIDAD)</t>
  </si>
  <si>
    <t>TRANSPORTE MASIVO CONFIABLE, EFICIENTE Y SOSTENIBLE</t>
  </si>
  <si>
    <t>TRANSCARIBE
SECRETARÍA DE INFRAESTRUCTURA</t>
  </si>
  <si>
    <t>SECRETARÍA DE INFRAESTRUCTURA
TRANSCARIBE</t>
  </si>
  <si>
    <t xml:space="preserve"> Integración Regional y Metropolitana</t>
  </si>
  <si>
    <t>ESTABLECIMIENTO PÚBLICO AMBIENTAL EPA
EDURBE</t>
  </si>
  <si>
    <t>SECRETARÍA DE INFRAESTRUCTURA
EDURBE</t>
  </si>
  <si>
    <t>VALORIZACIÓN
SECRETARÍA DE INFRAESTRUCTURA</t>
  </si>
  <si>
    <t>RECUPERACIÓN Y ESTABILIZACIÓN DEL SISTEMA HÍDRICO Y LITORAL DE CARTAGENA</t>
  </si>
  <si>
    <t>GEPM (GERENCIA DE ESPACIO PÚBLICO Y MOVILIDAD)
SECRETARÍA DE INTERIOR</t>
  </si>
  <si>
    <t>PLAN DE RESTAURACIÓN INTEGRAL DE LA CIÉNAGA DE LA VIRGEN</t>
  </si>
  <si>
    <t>Ordenamiento del Territorio y espacio público</t>
  </si>
  <si>
    <t>SECRETARÍA DE PLANEACIÓN
GERENCIA DE ESPACIO PÚBLICO Y MOVILIDAD</t>
  </si>
  <si>
    <t>RECUPERACIÓN Y TRANSFORMACIÓN DEL ESPACIO PÚBLICO</t>
  </si>
  <si>
    <t>Control Urbanístico y Territorial</t>
  </si>
  <si>
    <t>RECUPERANDO LA GOBERNANZA URBANÍSTICA, CARTAGENA VUELVE A BRILLAR</t>
  </si>
  <si>
    <t>CARTAGENA AVANZA EN EL FORTALECIMIENTO DEL PLAN DE NORMALIZACIÓN URBANÍSTICA</t>
  </si>
  <si>
    <t>Cartagena Amigable con el Ambiente</t>
  </si>
  <si>
    <t>BIENESTAR ANIMAL Y PROTECCIÓN DE LA VIDA SILVESTRE</t>
  </si>
  <si>
    <t>UMATA
DADIS</t>
  </si>
  <si>
    <t>UMATA 
ESTABLECIMIENTO PÚBLICO AMBIENTAL EPA</t>
  </si>
  <si>
    <t>GESTIÓN Y CONSERVACIÓN DE LA VEGETACIÓN Y LA BIODIVERSIDAD</t>
  </si>
  <si>
    <t>ALERTAS TEMPRANAS</t>
  </si>
  <si>
    <t>INVESTIGACIÓN, EDUCACIÓN Y CULTURA AMBIENTAL</t>
  </si>
  <si>
    <t>Cartagena Adaptada al Clima y Resiliente a los Desastres</t>
  </si>
  <si>
    <t>SECRETARÍA DE PLANEACIÓN
ESTABLECIMIENTO PÚBLICO AMBIENTAL EPA</t>
  </si>
  <si>
    <t>CONOCIMIENTO DEL RIESGO</t>
  </si>
  <si>
    <t>OFICINA ASESORA PARA LA GESTIÓN DE RIESGO DE DESASTRE
Oficina de Informática de la Alcaldía Distrital de Cartagena</t>
  </si>
  <si>
    <t>OFICINA ASESORA PARA LA GESTIÓN DE RIESGO DE DESASTRE
SECRETARÍA DE INFRAESTRUCTURA</t>
  </si>
  <si>
    <t>MANEJO DE DESASTRES</t>
  </si>
  <si>
    <t>ADAPTACIÓN DEL ESPACIO PÚBLICO AL CAMBIO CLIMÁTICO</t>
  </si>
  <si>
    <t>GEPM (GERENCIA DE ESPACIO PÚBLICO Y MOVILIDAD)
SECRETARÍA DE INFRAESTRUCTURA</t>
  </si>
  <si>
    <t>SOSTENIBILIDAD DEL ESPACIO PÚBLICO DEL CENTRO HISTÓRICO DE CARTAGENA DE INDIAS</t>
  </si>
  <si>
    <t>GERENCIA DE ESPACIO PÚBLICO Y MOVILIDAD
DATT
SECRETARÍAS DE INFRAESTRUCTURA</t>
  </si>
  <si>
    <t>GEPM (GERENCIA DE ESPACIO PÚBLICO Y MOVILIDAD)
IPCC</t>
  </si>
  <si>
    <t>SECRETARÍA DE PLANEACIÓN
IPCC</t>
  </si>
  <si>
    <t>GERENCIA DE ESPACIO PÚBLICO Y MOVILIDAD
DATT
SECRETARÍA DE PLANEACIÓN
ESCUELA TALLER ETCAR</t>
  </si>
  <si>
    <t>MURALLA PARA TODOS</t>
  </si>
  <si>
    <t>DESARROLLO ECONÓMICO EQUITATIVO</t>
  </si>
  <si>
    <t>Economía Popular y Emprendimiento</t>
  </si>
  <si>
    <t>Turismo Sostenible y Responsable</t>
  </si>
  <si>
    <t>Vincular a trescientos veinte (320) personas líderes y autoridades turísticas a procesos de formación</t>
  </si>
  <si>
    <t>SECRETARÍA DE TURISMO
SECRETARÍA DE HACIENDA</t>
  </si>
  <si>
    <t>INFRAESTRUCTURA TURÍSTICA PARA EL DESARROLLO</t>
  </si>
  <si>
    <t>Infraestructura turística dotada, adecuada, mejorada, mantenida y/o construida (infraestructura marino costera, embarcaderos)</t>
  </si>
  <si>
    <t>SECRETARÍA DE INFRAESTRUCTURA
SECRETARÍA DE TURISMO</t>
  </si>
  <si>
    <t>Competitividad e innovación</t>
  </si>
  <si>
    <t>UNIDOS POR UNA CARTAGENA COMPETITIVA E INNOVADORA</t>
  </si>
  <si>
    <t>Beneficiar a mil (1.000)_x000D_
personas a través del diseño y ejecución de 4 planes de fomento de la cultura de la innovación</t>
  </si>
  <si>
    <t>CARTAGENA GLOBAL</t>
  </si>
  <si>
    <t>Diversificación Económica</t>
  </si>
  <si>
    <t>UNIDOS POR LA DIVERSIFICACIÓN ECONÓMICA Y EL DESARROLLO EMPRESARIAL</t>
  </si>
  <si>
    <t>COOPERACIÓN PARA AVANZAR</t>
  </si>
  <si>
    <t>ECONOMÍA CIRCULAR Y NEGOCIOS VERDES</t>
  </si>
  <si>
    <t>SECRETARÍA GENERAL
SECRETARÍA DE HACIENDA</t>
  </si>
  <si>
    <t>TRANSFORMACIÓN PRODUCTIVA</t>
  </si>
  <si>
    <t>Trabajo Decente y Cierre de Brechas Laborales</t>
  </si>
  <si>
    <t>EMPLEO Y CAPITAL HUMANO</t>
  </si>
  <si>
    <t>MI PRIMERA CHAMBA</t>
  </si>
  <si>
    <t>DERECHO AL TRABAJO EN CONDICIONES DE IGUALDAD Y DIGNIDAD PARA LA MUJER</t>
  </si>
  <si>
    <t>AVANZAMOS CON CAPACIDADES EMPRENDEDORAS</t>
  </si>
  <si>
    <t>SECRETARÍA DE HACIENDA
SECRETARÍA DE PARTICIPACIÓN Y DESARROLLO SOCIAL</t>
  </si>
  <si>
    <t>Número de estrategias para promover el ecosistema de emprendimiento e innovación implementada</t>
  </si>
  <si>
    <t>Implementar cuatro (4) estrategias para la promoción de ecosistemas de emprendimiento e innovación</t>
  </si>
  <si>
    <t>CARTAGENA FOMENTA LA INCLUSIÓN PRODUCTIVA JUVENIL</t>
  </si>
  <si>
    <t>CORPOTURISMO
SECRETARÍA DE TURISMO</t>
  </si>
  <si>
    <t>GOBERNANZA Y FORTALECIMIENTO INSTITUCIONAL PARA UNA CIUDAD DE DERECHOS, RESPONSABLE Y COMPETITIVA</t>
  </si>
  <si>
    <t>Desarrollo Agropecuario</t>
  </si>
  <si>
    <t>INCLUSIÓN PRODUCTIVA Y SOCIAL DE LA AGRICULTURA CAMPESINA, FAMILIAR Y COMUNITARIA</t>
  </si>
  <si>
    <t>EXTENSIÓN AGROPECUARIA, INFRAESTRUCTURA Y ACTIVOS PRODUCTIVOS PARA LA COMPETITIVIDAD AGROPECUARIA Y LA SOBERANÍA ALIMENTARIA</t>
  </si>
  <si>
    <t>SECRETARÍA DE INFRAESTRUCTURA
CORVIVIENDA
UMATA</t>
  </si>
  <si>
    <t>SECRETARÍA DE INFRAESTRUCTURA
UMATA</t>
  </si>
  <si>
    <t>CARTAGENA CIUDAD DE PESCADORES</t>
  </si>
  <si>
    <t>DADIS</t>
  </si>
  <si>
    <t>UMATA
ESTABLECIMIENTO PÚBLICO AMBIENTAL EPA</t>
  </si>
  <si>
    <t>Sistema Integral de Abastecimiento del Distrito</t>
  </si>
  <si>
    <t>DESARROLLO DEL NUEVO SISTEMA DE MERCADOS DEL DISTRITO</t>
  </si>
  <si>
    <t>Implementar tres (3) fases del proceso de traslado del Mercado de Bazurto _x000D_
(1. Levantamiento, recopilación y revisión de información. _x000D_
2. Estudio de preinversion para el desarrollo de la estructuración técnica, social, ambiental, predial, financiera, jurídica y operativa del nuevo sistema de abastecimiento _x000D_
3. Ejecución)</t>
  </si>
  <si>
    <t>SECRETARÍA GENERAL
SECRETARÍA DE INFRAESTRUCTURA
DATT</t>
  </si>
  <si>
    <t>GESTIÓN INTEGRAL DEL SISTEMA DE MERCADOS</t>
  </si>
  <si>
    <t>INNOVACIÓN PÚBLICA Y PARTICIPACIÓN CIUDADANA</t>
  </si>
  <si>
    <t>Transparencia y Gobierno Abierto</t>
  </si>
  <si>
    <t>Fortalecimiento Institucional e Innovación Administrativa</t>
  </si>
  <si>
    <t>SEGURIDAD DIGITAL</t>
  </si>
  <si>
    <t>FORTALECIMIENTO DEL SISTEMA DE CONTROL INTERNO, SCI</t>
  </si>
  <si>
    <t>ESCUELA DE GOBIERNO Y LIDERAZGO
Oficina Asesora de Control Interno</t>
  </si>
  <si>
    <t>Finanzas Públicas</t>
  </si>
  <si>
    <t>HACIENDA MODERNA Y DIGITAL</t>
  </si>
  <si>
    <t>Participación Ciudadana y Acción Comunal</t>
  </si>
  <si>
    <t>SECRETARÍA DEL INTERIOR
Instituto Distrital de Acción Comunal</t>
  </si>
  <si>
    <t>SECRETARÍA GENERAL
SECRETARÍA DE PLANEACIÓN</t>
  </si>
  <si>
    <t>OFICINA ASESORA DE INFORMÁTICA
ESCUELA DE GOBIERNO Y LIDERAZGO</t>
  </si>
  <si>
    <t>OFICINA ASESORA DE INFORMÁTICA</t>
  </si>
  <si>
    <t>MODELO INTEGRADO DE PLANEACIÓN Y GESTIÓN - MIPG</t>
  </si>
  <si>
    <t>REDISEÑO INSTITUCIONAL E INNOVACIÓN ADMINISTRATIVA DEL DISTRITO</t>
  </si>
  <si>
    <t>TRANSFORMACIÓN DIGITAL DEL SISTEMA DE ARCHIVO PARA LA GESTIÓN PÚBLICA EFICIENTE</t>
  </si>
  <si>
    <t>FORTALECIMIENTO DE LA GESTIÓN ADMINISTRATIVA Y OPERATIVA DEL DEPARTAMENTO ADMINISTRATIVO DE TRÁNSITO Y TRANSPORTE - DATT</t>
  </si>
  <si>
    <t>GESTIÓN FISCAL Y FINANCIERA OPORTUNA</t>
  </si>
  <si>
    <t>Cultura Ciudadana</t>
  </si>
  <si>
    <t>SERVIDORES CON ESPLENDOR CONSTRUYENDO CIUDAD</t>
  </si>
  <si>
    <t>ORGANISMOS COMUNALES TÉCNICOS Y ADMINISTRATIVAMENTE EFICIENTES</t>
  </si>
  <si>
    <t>ORGANIZACIONES SOCIALES SÓLIDAS E INCIDENTES EN EL DESARROLLO LOCAL</t>
  </si>
  <si>
    <t>PROMOCIÓN Y GARANTÍA PARA LA PARTICIPACIÓN SOCIOPOLÍTICA JUVENIL</t>
  </si>
  <si>
    <t>DERECHO A LA PARTICIPACIÓN Y REPRESENTACIÓN CON EQUIDAD DE GÉNERO</t>
  </si>
  <si>
    <t>Sistema de Planeación Distrital</t>
  </si>
  <si>
    <t>CENTRO DE INVESTIGACIÓN DE INFORMACIÓN DE LA CIUDAD PARA LA TOMA DE DECISIONES (CIDI)</t>
  </si>
  <si>
    <t>SISTEMAS DE INFORMACIÓN PARA EL DESARROLLO DE CARTAGENA</t>
  </si>
  <si>
    <t>Mapa Interactivo de Asuntos del Suelo - MIDAS _x000D_
actualizado y optimizado</t>
  </si>
  <si>
    <t>INVERSIÓN PÚBLICA EFICIENTE Y TRANSPARENTE</t>
  </si>
  <si>
    <t>POLÍTICAS PÚBLICAS INTERSECTORIALES Y CON VISIÓN INTEGRAL</t>
  </si>
  <si>
    <t>SECRETARÍA DE PLANEACIÓN
SECRETARÍA DEL INTERIOR Y CONVIVENCIA CIUDADANA</t>
  </si>
  <si>
    <t>GESTIÓN CATASTRAL CON ENFOQUE MULTIPROPÓSITO</t>
  </si>
  <si>
    <t>SECRETARÍA DE HACIENDA
SECRETARÍA DE PLANEACIÓN</t>
  </si>
  <si>
    <t>SEGURIDAD HUMANA</t>
  </si>
  <si>
    <t>Atención Integral a Grupos de Especial Protección</t>
  </si>
  <si>
    <t>Superación de la pobreza extrema y soberanía alimentaria</t>
  </si>
  <si>
    <t>Construccion de paz, Derechos Humanos y Convivencia</t>
  </si>
  <si>
    <t>Atender a la totalidad de personas víctimas que cumplan con los requisitos de ley para acceder a la medida de ayuda humanitaria inmediata</t>
  </si>
  <si>
    <t>Atender a la totalidad de personas víctimas que cumplan con los requisitos de ley para acceder a la medida de ayuda humanitaria inmediata mediante albergue</t>
  </si>
  <si>
    <t>Salud Pública y Aseguramiento</t>
  </si>
  <si>
    <t>SALUD CON COBERTURA, ACCESIBILIDAD, CALIDAD E INCLUSIÓN</t>
  </si>
  <si>
    <t>SECRETARÍA DE INFRAESTRUCTURA
DEPARTAMENTO ADMINISTRATIVO DISTRITAL DE SALUD DADIS</t>
  </si>
  <si>
    <t>DERECHOS EN SALUD Y PROMOCIÓN SOCIAL</t>
  </si>
  <si>
    <t>Número de personas pertenecientes a los grupos poblaciones vulnerables participantes en estrategias de promoción de la participación social en salud</t>
  </si>
  <si>
    <t>FORTALECIMIENTO DEL CENTRO REGULADOR DE URGENCIAS, EMERGENCIAS Y DESASTRES EN EL DISTRITO DE CARTAGENA - CRUED</t>
  </si>
  <si>
    <t>Número de IPS asistidas con servicios del Plan de Emergencia Hospitalaria y desarrollo de capacidades en las competencias frente a las adaptaciones de posibles efectos de la variabilidad y el cambio climático</t>
  </si>
  <si>
    <t>Número de animales vacunados contra la rabia</t>
  </si>
  <si>
    <t>Número de entidades con acciones de salud pública elaboradas sobre prevención y control de la tuberculosis en los_x000D_
diferentes entornos</t>
  </si>
  <si>
    <t>Elaborar anualmente acciones de salud pública en setenta y cinco (75) entidades sobre prevención y control de la tuberculosis en los diferentes entornos</t>
  </si>
  <si>
    <t>FORTALECIMIENTO A LA PROTECCIÓN DIGNA DE LAS PERSONAS MAYORES EN EL DISTRITO DE CARTAGENA</t>
  </si>
  <si>
    <t>Ruta de atención a los adultos mayores maltratados o en estado de abandono actualizada y socializada</t>
  </si>
  <si>
    <t>Actualizar y socializar una (1) ruta de atención a los adultos mayores maltratados o en estado de abandono</t>
  </si>
  <si>
    <t>ASISTENCIA SOCIAL E INCLUYENTE A LAS PERSONAS CON DISCAPACIDAD Y/O SU FAMILIA O CUIDADORES PARA LA SEGURIDAD HUMANA Y BIENESTAR SOCIAL</t>
  </si>
  <si>
    <t>Implementar cuatro (4) espacios lúdicos inclusivos para niños, niñas y adolescentes con discapacidad en el Distrito</t>
  </si>
  <si>
    <t>UNIDOS PARA LA INCLUSIÓN PRODUCTIVA DE LAS PERSONAS CON DISCAPACIDAD</t>
  </si>
  <si>
    <t>CIUDADANOS HABITANTES DE CALLE CON PROTECCIÓN SOCIAL Y GARANTÍA DE DERECHOS</t>
  </si>
  <si>
    <t>SECRETARÍA DE PARTICIPACIÓN Y DESARROLLO SOCIAL
SECRETARÍA DEL INTERIOR Y CONVIVENCIA CIUDADANA</t>
  </si>
  <si>
    <t>Número de procesos de sensibilización a diferentes comunidades para propiciar la transformación de imaginarios sociales frente a personas con orientaciones sexuales e identidades de género diversas y sectores LGBTIQ+ implementados</t>
  </si>
  <si>
    <t>IDENTIFICACIÓN PARA LA SUPERACIÓN DE LA POBREZA EXTREMA</t>
  </si>
  <si>
    <t>SALUD PARA LA SUPERACIÓN DE LA POBREZA EXTREMA</t>
  </si>
  <si>
    <t>Formar a veinticinco mil familias (25.000) sobre el valor de la educación</t>
  </si>
  <si>
    <t>BANCARIZACIÓN PARA LA SUPERACIÓN DE LA POBREZA EXTREMA</t>
  </si>
  <si>
    <t>DINÁMICA FAMILIAR PARA LA SUPERACIÓN DE LA POBREZA EXTREMA</t>
  </si>
  <si>
    <t>SEGURIDAD ALIMENTARIA Y NUTRICIÓN PARA LA SUPERACIÓN DE LA POBREZA EXTREMA</t>
  </si>
  <si>
    <t>FORTALECIMIENTO INSTITUCIONAL PARA LA SUPERACIÓN DE LA POBREZA EXTREMA</t>
  </si>
  <si>
    <t>FORTALECIMIENTO INSTITUCIONAL DE RENTA CIUDADANA, RENTA JOVEN Y COLOMBIA MAYOR PARA LA SUPERACIÓN DE LA POBREZA EXTREMA</t>
  </si>
  <si>
    <t>Seguridad Ciudadana y Orden Público</t>
  </si>
  <si>
    <t>PLAN ESTRATÉGICO DE SEGURIDAD INTEGRAL TITAN 24</t>
  </si>
  <si>
    <t>DISTRISEGURIDAD
SECRETARÍA DEL INTERIOR
CONVIVENCIA CIUDADANA</t>
  </si>
  <si>
    <t>Equipos para la seguridad y la convivencia conformados</t>
  </si>
  <si>
    <t>Conformar un (1) Equipo Interdisciplinario para articulación y coordinación de estrategias de seguridad y un (1) Equipo Operativo de Gestores de Convivencia</t>
  </si>
  <si>
    <t>SECRETARÍA DEL INTERIOR Y CONVIVENCIA CIUDADANA
DISTRISEGURIDAD</t>
  </si>
  <si>
    <t>Organismos de Seguridad dotados y_x000D_
con servicios en el marco del PISCC 2024-2027</t>
  </si>
  <si>
    <t>DISTRISEGURIDAD_x000D_
SECRETARÍA DEL INTERIOR Y CONVIVENCIA CIUDADANA</t>
  </si>
  <si>
    <t>Política Pública de SEGURIDAD HUMANA Integral formulada</t>
  </si>
  <si>
    <t>Formular una (1) Política Pública de SEGURIDAD HUMANA Integral</t>
  </si>
  <si>
    <t>SECRETARÍA DEL INTERIOR Y CONVIVENCIA CIUDADANA
DISTRISEGURIDAD
ESTABLECIMIENTO PÚBLICO AMBIENTAL
OFICINA ASESORA PARA LA GESTIÓN DEL RIESGO DE DESASTRES
GERENCIA DE ESPACIO PÚBLICO Y MOVILIDAD</t>
  </si>
  <si>
    <t>Implementar cuatrocientos cuarenta  (440) sistemas de información para la seguridad (alarmas comunitarias, drones, totem)</t>
  </si>
  <si>
    <t>Adquirir ciento veinte  (120) equipos de comunicación para la seguridad (tipo radio, equipos celulares)</t>
  </si>
  <si>
    <t>Construir cuatro (4) infraestructuras para la promoción de la cultura de la legalidad y la convivencia CAIs, subestaciones, estaciones, centro de inteligencia)</t>
  </si>
  <si>
    <t>SEGURIDAD YA EN LAS PLAYAS DE CARTAGENA</t>
  </si>
  <si>
    <t>DISTRISEGURIDAD
SECRETARÍA DE TURISMO</t>
  </si>
  <si>
    <t>EDUCACIÓN, CULTURA Y SEGURIDAD VIAL PARA AVANZAR</t>
  </si>
  <si>
    <t>UNA VIDA LIBRE DE VIOLENCIA PARA LAS MUJERES</t>
  </si>
  <si>
    <t>DERECHO A LA PAZ Y CONVIVENCIA CON EQUIDAD DE GÉNERO</t>
  </si>
  <si>
    <t>AVANZANDO EN EL FORTALECIMIENTO DE CASAS DE JUSTICIA, COMISARÍAS DE FAMILIA E INSPECCIONES DE POLICÍA</t>
  </si>
  <si>
    <t>ATENCIÓN INTEGRAL A JÓVENES EN SITUACIÓN DE RIESGO SOCIAL</t>
  </si>
  <si>
    <t>VIDA DIGNA</t>
  </si>
  <si>
    <t>Educación</t>
  </si>
  <si>
    <t>SECRETARÍA DEEducación</t>
  </si>
  <si>
    <t>Institución Universitaria Mayor de Cartagena</t>
  </si>
  <si>
    <t>Artes, Cultura y Patrimonio</t>
  </si>
  <si>
    <t>MEMORIA Y PATRIMONIO AL SERVICIO DE LA CIUDADANÍA</t>
  </si>
  <si>
    <t>SECRETARÍA GENERAL
Corporación Museo Histórico de Cartagena</t>
  </si>
  <si>
    <t>AVANZANDO DESDE EL COMIENZO</t>
  </si>
  <si>
    <t>Número de Instituciones Educativas Oficiales con oferta deEducación inicial para la atención a la primera infancia implementada</t>
  </si>
  <si>
    <t>Implementar encuarenta (40) IEO con oferta deEducación inicial para la atención de la primera infancia</t>
  </si>
  <si>
    <t>YO CUENTO</t>
  </si>
  <si>
    <t>Número de Instituciones Educativas Oficiales vinculadas a estrategias para el fortalecimiento de la oferta deEducación inclusiva para preescolar, básica y media</t>
  </si>
  <si>
    <t>Vincular a setenta y dos (72) Instituciones Educativas Oficiales a estrategias para el fortalecimiento de la oferta deEducación inclusiva para preescolar, básica y media</t>
  </si>
  <si>
    <t>ESCUELA HOGAR</t>
  </si>
  <si>
    <t>Número de Instituciones Educativas Oficiales con proyectos pedagógicos transversales deEducación ambiental, emprendimiento y otros implementados</t>
  </si>
  <si>
    <t>Implementar proyectos pedagógicos transversales deEducación ambiental, emprendimiento y otros en cincuenta y nueve (59) Instituciones Educativas Oficiales</t>
  </si>
  <si>
    <t>CARTAGENA TERRITORIO PLURILINGÜE</t>
  </si>
  <si>
    <t>LEVANTEMOS LA VOZ</t>
  </si>
  <si>
    <t>FORMACIÓN Y CUALIFICACIÓN DE DOCENTES Y DIRECTIVOS DOCENTES</t>
  </si>
  <si>
    <t>FORTALECIMIENTO DE LA GESTIÓN ESCOLAR EN LAS INSTITUCIONES EDUCATIVAS OFICIALES</t>
  </si>
  <si>
    <t>Referentes técnicos deEducación inicial y preescolar incorporados en PEI de instituciones educativas que ofertan los grados prejardín, jardín y transición</t>
  </si>
  <si>
    <t>Incorporar los referentes técnicos deEducación inicial y preescolar en los PEI de cuarenta (40) instituciones educativas que ofertan los grados prejardín, jardín y transición</t>
  </si>
  <si>
    <t>Número de estudiantes egresados de Instituciones Educativas Oficiales y con matrícula contratada becados enEducación superior</t>
  </si>
  <si>
    <t>Becar enEducación superior a nueve mil (9.000) estudiantes egresados de Instituciones Educativas Oficiales y con matrícula contratada</t>
  </si>
  <si>
    <t>Número de estudiantes egresados de Instituciones Educativas Oficiales y con matrícula contratada becados con becas inclusivas enEducación superior (víctimas, NARP, con discapacidad, indígenas)</t>
  </si>
  <si>
    <t>Becar enEducación superior a quinientas cuarenta y cuatro (544) estudiantes egresados de Instituciones Educativas Oficiales y con matrícula contratada, con becas inclusivas</t>
  </si>
  <si>
    <t>Asistir con programas piloto de bilingüismo a cinco (5)_x000D_
Instituciones Educativas Oficiales con nodos de media técnica</t>
  </si>
  <si>
    <t>Formar a quinientos (500) estudiantes enEducación técnica para el trabajo y el desarrollo humano</t>
  </si>
  <si>
    <t>AVANZAMOS EN EL FORTALECIMIENTO INSTITUCIONAL DE LA SECRETARÍA DEEducación</t>
  </si>
  <si>
    <t>Armonizar las diecinueve (19) políticas del Modelo Integrado de Planeación y Gestión - MIPG en la Secretaría deEducación</t>
  </si>
  <si>
    <t>Reorganización administrativa y de procesos de la Secretaría deEducación diseñada, aprobada e implementada</t>
  </si>
  <si>
    <t>Diseñar, aprobar e implementar una (1) nueva estructura administrativa y de procesos de la Secretaría deEducación</t>
  </si>
  <si>
    <t>Acceso a Servicios Básicos</t>
  </si>
  <si>
    <t>SECRETARÍA GENERAL
SECRETARÍA DE INFRAESTRUCTURA</t>
  </si>
  <si>
    <t>Entregar servicios de apoyo financiero (subsidios) de los servicios públicos domiciliarios a doscientos cuarenta y seis mil ciento cincuenta y dos (246.152) usuarios de acueducto de estrato 1, 2 y 3, a ciento setenta y un mil trescientos siete (171.307) usuarios de alcantarillado de estrato 1, 2 y 3, y a doscientos ochenta y un mil ochocientos veintitres (281.823) usuarios de servicio de aseo de estratos 1, 2</t>
  </si>
  <si>
    <t>Vivienda Digna y Hábitat</t>
  </si>
  <si>
    <t>UNIDOS POR UNA VIVIENDA PARA TI</t>
  </si>
  <si>
    <t>MI TERRITORIO EN ORDEN</t>
  </si>
  <si>
    <t>ESCENARIOS CULTURALES VIVOS PARA TRANSFORMAR</t>
  </si>
  <si>
    <t>DEMOCRATIZACIÓN DE LA CULTURA: ESTÍMULOS PARA EL FOMENTO Y DESARROLLO ARTÍSTICO, CULTURAL Y CREATIVO</t>
  </si>
  <si>
    <t>FORMACIÓN ARTÍSTICA Y CULTURAL</t>
  </si>
  <si>
    <t>DERECHOS CULTURALES Y FORTALECIMIENTO INSTITUCIONAL PARA LA GOBERNANZA</t>
  </si>
  <si>
    <t>CARTAGENA BRILLA CON SU CULTURA Y PATRIMONIO MATERIAL E INMATERIAL</t>
  </si>
  <si>
    <t>Deporte y Recreación</t>
  </si>
  <si>
    <t>FORTALECIMIENTO Y MANTENIMIENTO DE LA RED DE INFRAESTRUCTURA DEPORTIVA DEL DISTRITO</t>
  </si>
  <si>
    <t>FOMENTO AL DEPORTE DE ALTO RENDIMIENTO</t>
  </si>
  <si>
    <t>FORTALECIMIENTO DEL CAPITAL HUMANO A TRAVÉS DE LAS CIENCIAS APLICADAS AL DEPORTE Y LA RECREACIÓN</t>
  </si>
  <si>
    <t>FORTALECIMIENTO DEL DEPORTE FORMATIVO, ESTUDIANTIL Y LAEducación FÍSICA EXTRAESCOLAR</t>
  </si>
  <si>
    <t>Número de núcleos deEducación física extraescolar creados</t>
  </si>
  <si>
    <t>Crear cuatro (4) núcleos deEducación física extraescolar </t>
  </si>
  <si>
    <t>SECRETARÍA DEEducación
IDER</t>
  </si>
  <si>
    <t>Número de participantes en los diferentes eventos y/o torneos de las instituciones educativas y las universidades</t>
  </si>
  <si>
    <t>Vincular a veintiocho mil (28.000) participantes en los eventos y/o torneos de las instituciones educativas y las universidades</t>
  </si>
  <si>
    <t>Número de instituciones_x000D_
educativas participantes en_x000D_
los Juegos Intercolegiado</t>
  </si>
  <si>
    <t>FORTALECIMIENTO DEL DEPORTE SOCIAL COMUNITARIO, AVANZAR EN NUESTRO TERRITORIO</t>
  </si>
  <si>
    <t>CARTAGENA CIUDAD DESTINO DE TURISMO DEPORTIVO</t>
  </si>
  <si>
    <t>Infancia, Adolescencia y Familia</t>
  </si>
  <si>
    <t>ENTORNOS SEGUROS PARA LA PRIMERA INFANCIA</t>
  </si>
  <si>
    <t>Vincular a treinta y tres mil ochocientos veintidós (33.822) de padres, madres, y cuidadores en acciones de formación para el fortalecimiento de vínculos, la crianza amorosa y la promoción de sus_x000D_
derechos</t>
  </si>
  <si>
    <t>Valor Ponderado</t>
  </si>
  <si>
    <t>56,7%</t>
  </si>
  <si>
    <t>LINEA ESTRATEGICA</t>
  </si>
  <si>
    <t>AVANCE LINEA ESTRATEGICA</t>
  </si>
  <si>
    <t>AVANCE COMPONENTE IMPULSOR DE AVANCE</t>
  </si>
  <si>
    <t>PROGRAMAS</t>
  </si>
  <si>
    <t>INDICADOR DE LA META PRODUCTO</t>
  </si>
  <si>
    <t>AVANCE PROGRAMAS</t>
  </si>
  <si>
    <t>REVISADO JUNIO 10</t>
  </si>
  <si>
    <t>PROGRAMA AJUSTADO EN JUNIO 2025</t>
  </si>
  <si>
    <t>SE INCLUYE EN EL CALCULO DEL CUATRIENIO DEL COMPONENTE IMPULSO, AL MOMENTO DE EMPEZAR A REPORTAR CON EL PROMEDIO DEL COMPONENTE IGUAL O MENOR AL DEL PROGRAMA</t>
  </si>
  <si>
    <t xml:space="preserve">REVISADO JUNIO 10 </t>
  </si>
  <si>
    <t xml:space="preserve">REVISADO 10  JUNIO </t>
  </si>
  <si>
    <t>REVISADO 10 JUNIO 2025</t>
  </si>
  <si>
    <t xml:space="preserve">REVISADO 10 DE JUNIO </t>
  </si>
  <si>
    <t>AVANCE ACUMULADO MARZO 2025</t>
  </si>
  <si>
    <t>A la espera del reporte de corpoturismo junio 10 de 2025</t>
  </si>
  <si>
    <t>A la espera del reporte de corpoturismo junio 10 de 2026</t>
  </si>
  <si>
    <t>REVISADO 10  JUNIO 0,1 REPORTADO POR DATT Y 0,15 POR GEPM</t>
  </si>
  <si>
    <t>VALORIZACIÓN REPORTA A 10 DE JUNIO AVANCE CERO</t>
  </si>
  <si>
    <t>REVISADO 10 DE JUNO 2025</t>
  </si>
  <si>
    <t>HASTA EL MOMENTO NO SE HA RECIBIDO DESPROGRAMACIÓN DE LA META. POR LO TANTO AL FINAL DE LA VIGENCIA SINO REPORTA, ES CERO.</t>
  </si>
  <si>
    <t>SE BAJA LA PROGRAMACIÓN A 0,5 DE 1 QUE TENIAN AL PRINCIPIO</t>
  </si>
  <si>
    <t>SE BAJA LA PROGRAMACIÓN A 1 DE 2 QUE TENIAN AL PRINCIPIO</t>
  </si>
  <si>
    <t>SUBE LA  PROGRAMCIÓN DE 0,1 A 0,5</t>
  </si>
  <si>
    <t>DESPROGRAMADA PARA  LA VIGENCIA 2025</t>
  </si>
  <si>
    <t>DESPROGRAMADA PARA EL 2025</t>
  </si>
  <si>
    <t>AVANCE SEGUNDO TRIMESTRE 2025</t>
  </si>
  <si>
    <t>AVANCE MARZO - JUNIO  DE 2025</t>
  </si>
  <si>
    <t>DEFICIT O SUPERAVIT ENTRE MARZO -   JUNIO 2025</t>
  </si>
  <si>
    <t xml:space="preserve">REVISADO 30  JUNIO </t>
  </si>
  <si>
    <t>REVISADO 30 JUNIO</t>
  </si>
  <si>
    <t>REVISADO 30 DE JUNIO</t>
  </si>
  <si>
    <t xml:space="preserve">REVISADO 30 DE JUNIO </t>
  </si>
  <si>
    <t>OBSERVACIONES  10 JUNIO 2025</t>
  </si>
  <si>
    <t>OBSERVACIONES 30 JUNIO  2025</t>
  </si>
  <si>
    <t>REVISAR EL CALCULO CON ENLACE, YA QUE ESTA ES META PRODUCTO DE MANTENIMIENTO Y LA COLOCA COMO EJECUTADA AL 100% AL CUATRIENIO.</t>
  </si>
  <si>
    <t>INCLUIR SOLO CUANDO SE ACORDE CON EL ENLACE EL REPORTE</t>
  </si>
  <si>
    <t>PARA JUNIO  2025 SOLO REPORTÓ GEPM, DATT NO ESTÁ REPORTA</t>
  </si>
  <si>
    <t>REVISAR TANTO EL PROGRAMADO COMO EL REPORTADO COMO EL ACUMULADO 2024</t>
  </si>
  <si>
    <t>REVISAR CON ENLACE, PROGRAMADO Y REPORTE</t>
  </si>
  <si>
    <t>REVISAR CON ENLACE, YA QUE EN EL REPORTE DE PLAN DE ACCIÓN TIENE OTRO NOMBRE ESTE PROGRAMA</t>
  </si>
  <si>
    <t>REVISAR CON  ENLACE EL PROGRAMADO Y REPORTE A JUNIO 2025</t>
  </si>
  <si>
    <t>REVISAR CON  ENLACE EL PROGRAMADO Y REPORTE A JUNIO 2026</t>
  </si>
  <si>
    <t>META CUMPLIDA 30 DE JUNIO DE 2025</t>
  </si>
  <si>
    <t>REVISADO 30 DE JUNIO 2025</t>
  </si>
  <si>
    <t>REVISAR AVANCE CUATRENIO 2025</t>
  </si>
  <si>
    <t>REVISAR CON ENLACE, YA QUE ESTA META SE LLOGRÓ POR CORPOTURISMO</t>
  </si>
  <si>
    <t>REVISAR CON EL ENLACE</t>
  </si>
  <si>
    <t>REVISAR CON ENLACE YA QUE ESTA META PRODUCTO SE CUMPLIÓ Y PROGRAMARON PARA ESTA VIGENCIA</t>
  </si>
  <si>
    <t>REVISAR ACUMULADO CUATRIENIO CON EL ENLACE</t>
  </si>
  <si>
    <t>REVISAR CON ENLACE, YA QUE EL PROGRAMADO ES DE 0,25 Y TIENE 2 PARA EL REPORTE DE JUNIO 30</t>
  </si>
  <si>
    <t>META CUMPLIDA JUNIO 2025</t>
  </si>
  <si>
    <t>REVISAR EL PORQUÉ  AHORA ESA META  APARECE PARA EL 2025 COMO DESPROGRAMADA, CUANDO ESTABA EN 0,3 PARA EL AÑO. ADEMAS DE REPORTAR EN 0,2 EN JUNIO 10 Y AHORA NO REPORTA A JUNIO 30</t>
  </si>
  <si>
    <t>REVISAR CON ENLACE, ESTA META ESTÁ REPORTADA DOS VECES EN EL REPORTE DE PLAN DE ACCIÓN</t>
  </si>
  <si>
    <t xml:space="preserve">REVISAR CON ENLACE, YA QUE SEC GENERAL NO PROGRAMA ESA META </t>
  </si>
  <si>
    <t>PARA JUNIO 30 DE 2025. HACIENDA NO REPORTA, PERO SEC DE PLANEACIÓN REPORTA PARA JUNIO 30 DE 2025 UNA CIFRA DE 0,03</t>
  </si>
  <si>
    <t>SEC DE PLANEACIÓN REPORTA PARA JUNIO 30 DE 2025 UNA CIFRA DE 0,03. PERO REVISAR REPORTE DE SEC DE HACIENDA, YA QUE REPORTA MAL EL INDICADOR</t>
  </si>
  <si>
    <t>AVANCE ACUMULADO JULIO 2025</t>
  </si>
  <si>
    <t>REVISAR CON ENLACE, YA QUE ESTA META SE PROGRAMÓ ENE L 2024 Y NO EJECUTÓ, POR LO TANTO LLEVA UN ACUMUALDO DE CERO.</t>
  </si>
  <si>
    <t>REVISAR CON ENLACE EL AVANCE DEL AÑO Y EL CUATRIENIO</t>
  </si>
  <si>
    <t xml:space="preserve">REVISAR CON ENLACE YA  QUE  ESTAS METAS  PRODUCTO NO SE HAN PROGRAMADO </t>
  </si>
  <si>
    <t>REVISAR CON LOS ENLACES, YA QUE NO SE PROGRAMARON EN LOS PLANES DE ACCIÓN</t>
  </si>
  <si>
    <t>REVISAR CON ENLACE, YA QUE NO PROGRAMAN NO REPORTAN EN EL PLAN DE ACCIÓN</t>
  </si>
  <si>
    <t>REVISAR EL ACUMULADO GENERAL CON EL ENLACE</t>
  </si>
  <si>
    <t>REVISAR META COMPLETAMENTE CON ENLACE</t>
  </si>
  <si>
    <t>REVISAR CON ENLACE, YA QUE ESA META SE CUMPLIÓ</t>
  </si>
  <si>
    <t>REVISAR EL REPORTE DE JUNIO CON ENLACE</t>
  </si>
  <si>
    <t>META LOGRADA</t>
  </si>
  <si>
    <t>META CUMPLIDA. REPORTADA COMO LOGRADA EN EL MES DE JUNIO.</t>
  </si>
  <si>
    <t>SE REPORTA LO LOGRADO EN EL 2024. EN 2025 AUN NO REPORTAN</t>
  </si>
  <si>
    <t xml:space="preserve">AVANCE  ANUAL ALCANZADO RESPECTO A LA VIGENCIA  2024 </t>
  </si>
  <si>
    <t>PLAN DE EMERGENCIA SOCIAL PES Pr</t>
  </si>
  <si>
    <t>Institución Universitaria Mayor de Cartagena. </t>
  </si>
  <si>
    <t>META N0 PROGRAMDA EN LAS DOS VIGENCIAS 2024 - 2025</t>
  </si>
  <si>
    <t>SOLO LA PROGRAMÓ GEMPM Y A LA FECHA DE CORTE JUNIO 2025, NO HAY REPORTE</t>
  </si>
  <si>
    <t>NO INLCUIR EL REPORTE LOGRADO A 2004 EN DICIEMBRE, EN ESPERA DE OFICIO PARA AJUSTAR Y PROCEDER A ELIMINAR EL AVANCE</t>
  </si>
  <si>
    <t>REVISAR EL PORQUÉ EN EL REPORTE LA COLOCA COMO CUMPLIDA, CUANDO EN EL PROGRAMADO DEL CUATRENIO SE INDICA QUE ES DE MANTENIMIENTO</t>
  </si>
  <si>
    <t>REVISAR EL PROGRAMADO DEL CUATRIENIO, YA QUE EN REPORTE COLOCAN 1 CUANDO SON 4</t>
  </si>
  <si>
    <t>REVISAR CON ENLACE, YA QUE EN AÑO 2024 NO SE PROGRAMÓ NI SE EJECUTÓ ESTA META, Y APARECE PROGRAMADA Y CON EJECUCIÓN DEL  0,7 PARA LA VIGENCIA ANTERIOR  EN EL REPORTE DE JUNIO DE 2025</t>
  </si>
  <si>
    <t>SE ESTARÍA REPORTANDO EN EL ULTIMO TRIMESTRE DE 20256</t>
  </si>
  <si>
    <t>REVISADO 30  JUNIO . PARA EL REPORTE DE SEPTIEMBRE SE AJUSTA EL PROGRAMADO A CERO PARA LA VIGENCIA</t>
  </si>
  <si>
    <t>REVISADO 30 DE JUNIO. PERO PARA AJUSTE FUTURO</t>
  </si>
  <si>
    <t>Secretaría General</t>
  </si>
  <si>
    <t>GERENCIA DE ESPACIO PÚBLICO Y MOVILIDAD - DATT- SECRETARÍA DE PLANEACIÓN - ESCUELA TALLER ETCAR - SECRETARÍA DE INFRAESTRUCTURA  - SECRETARÍA  GENERAL</t>
  </si>
  <si>
    <t>ESCUELA TALLER CARTAGENA DE INDIAS -  - GERENCIA DE ESPACIO PÚBLICO Y MOVILIDAD -  IDER
SECRETARÍA DE INFRAESTRUCTURA</t>
  </si>
  <si>
    <t>DEPARTAMENTO ADMINISTRATIVO DE TRANSITO Y TRANSPORTE DATT</t>
  </si>
  <si>
    <t>OBSERVACIONES SEPTIEMBRE 15 DE 2025</t>
  </si>
  <si>
    <t>AVANCE ACUMULADO SEPTIEMBRE 15 DE 2025</t>
  </si>
  <si>
    <t>LOGRO CORTE 15 DE SEPTIEMBRE DE  2025 RESPECTO AL CUATRIENIO</t>
  </si>
  <si>
    <t>AVANCE RESPECTO AL CUATRIENIO DE LOS COMPONENTES IMPULSORES CAPITULO ETNICO  10 DE 15 DE SEPTIEMBRE DE  DE 2025. PONDERADO</t>
  </si>
  <si>
    <t>REPROGRAMADA DE  3.241 A 420</t>
  </si>
  <si>
    <t>REPROGRAMADA DE  3.500 A 730</t>
  </si>
  <si>
    <t>REPROGRAMADA DE  1.675 A 1.000</t>
  </si>
  <si>
    <t>REPROGRAMADO DE 600 A 315</t>
  </si>
  <si>
    <t>REPROGRAMADO DE 150  A 86</t>
  </si>
  <si>
    <t>REPROGRAMADA DE 200 A 400</t>
  </si>
  <si>
    <t>REPROGRAMADA DE 399 A 729</t>
  </si>
  <si>
    <t>SE REPROGRAMA  DE 60 A 180</t>
  </si>
  <si>
    <t>SE REPROGRAMA  DE 67 A 41</t>
  </si>
  <si>
    <t xml:space="preserve">REPROGRMÓ DE 2 A 5 </t>
  </si>
  <si>
    <t>SE AJUSTA LA PROGRAMACIÓN DE LA META PRODUCTO PARA LA VIGENCIA 2025, YA QUE ESTANA EN CERO Y SE REPROGRAMÓ A 1. SE CONTABILIZA APENAS EMPIECEN A REPORTAR EN LA VIGENCIA.</t>
  </si>
  <si>
    <t>SE CAMBIA LA PROGRAMACIÓN  META PRODUCTO DE 20 A 50.</t>
  </si>
  <si>
    <t>GEPM DESPROGRAMA LO QUE PROGRAMÓ PARA LA VIGENCIA 2025. PERO EL AVANCE CUATRIENIO SE MANTENDRÁ EN CERO, YA QUE ES UNA META COMPARTIDA Y HAY CORRESPONSABILIDAD Y MAS QUE TODO, LA SECRETARÍA DE PARTICIPACIÓN LA PROGRAMÓ.</t>
  </si>
  <si>
    <t>GEPM DESPROGRAMA LO QUE PROGRAMÓ PARA LA VIGENCIA 2025.  PROGRAMÓ PARA LA VIGENCIA 2025. PERO EL AVANCE CUATRIENIO SE MANTENDRÁ EN CERO, YA QUE ES UNA META COMPARTIDA Y HAY CORRESPONSABILIDAD.</t>
  </si>
  <si>
    <t>REVISAR CON ENLACES, YA QUE LA GEPM PROGRAMÓ 200 PARA LA VIGENCIA 2025. PEDIR REUNIÓN PARA PROGRAMAR EN CONJUNTO CON LAS DEMAS DEPENDENCIAS ESTA META PRODUCTO</t>
  </si>
  <si>
    <t>REVISAR CON ENLACES, YA QUE LA GEMPPROGRAMÓ 200 PARA LA VIGENCIA 2025. PEDIR REUNIÓN PARA PROGRAMAR EN CONJUNTO CON LAS DEMAS DEPENDENCIAS ESTA META PRODUCTO</t>
  </si>
  <si>
    <t>SOLO LA  GEPM PROGRAMÓ  Y A LA FECHA DE CORTE JUNIO 2025, NO HAY REPORTE</t>
  </si>
  <si>
    <t>REVISAR CON ENLACE, YA QUE NO REPORTA  AVANCE A MARZO 2025</t>
  </si>
  <si>
    <t>REVISAR CON ENLACE, YA QUE NO REPORTA  AVANCE A JUNIO 2025</t>
  </si>
  <si>
    <t>GEPM DESPROGRAMÓ LA META  PARA LA VIGENCIA 2025</t>
  </si>
  <si>
    <t>GEPM  DESPROGRAMÓ PARA LA VIGENCIA 2025</t>
  </si>
  <si>
    <t>DESPROGRAMADO POR LA GEPM PARA LA VIGENCIA 2025</t>
  </si>
  <si>
    <t>EL DATT REPROGRAMÓ LA META DE 5 A CERO PARA LA VIGENCIA 2025</t>
  </si>
  <si>
    <t>EL DATT REPROGRAMÓ LA META DE 20.000 MILLONES A 15.000 MILLONES EN LA VIGENCIA 2025</t>
  </si>
  <si>
    <t>YA ESTA REPROGRAMADA, PERO PARA DEJAR FORMALIZADO EL CAMBIO</t>
  </si>
  <si>
    <t>SE REPROGRAMÓ DE 0 A 0,1 EN LA VIGENCIA 2025</t>
  </si>
  <si>
    <t>YA ESTABA REPROGRAMADO. PERO PARA EFECTOS FORMALES</t>
  </si>
  <si>
    <t>SE REPORGRAMÓ DE 0 A 0,2 PARA LA VIGENCIA 2025.</t>
  </si>
  <si>
    <t>SE REPROGRAMÓ DE 0 A 0,8 PARA LA VIGENCIA 2025</t>
  </si>
  <si>
    <t>SE REPROGRAMÓ DE 0,3 A 0,2 PARA LA VIGENCIA 2025</t>
  </si>
  <si>
    <t>YA ESTABA REPROGRAMADA, PERO PARA FORMALIZARLO</t>
  </si>
  <si>
    <t>YA ESTABA REPROGRAMADA, PERO PARA EFECTOS DE FORMALIZADA.</t>
  </si>
  <si>
    <t>SE REPROGRAMA DE 0 A 0,5 PARA LA VIGENCIA 2025.</t>
  </si>
  <si>
    <t>AVANCE ESPERADO ACUMULADO CUATRIENIO 2024 - 2025 (INICIAL). CORTE DICIEMBRE 2025</t>
  </si>
  <si>
    <t>DIFERENCIA</t>
  </si>
  <si>
    <t>AVANCE ESPERADO ACUMULADO CUATRIENIO 2024 - 2025 (LUEGO DE REPROGRAMACIÓN). CORTE DICIEMBRE 2025</t>
  </si>
  <si>
    <t>SE REPROGRAMÓ LA META PRODUCTO  DE CERO A SEIS PARA LA VIGENCIA 2025</t>
  </si>
  <si>
    <t>SE REPROGRAMÓ LA META PRODUCTO  DE 1,5 A 5 PARA LA VIGENCIA 2025</t>
  </si>
  <si>
    <t>SE REPROGRAMA DE 0,5 A 0,33 PARA LA VIGENCIA 2025.</t>
  </si>
  <si>
    <t>SE DESPROGRAMÓ PARA LA VIGENCIA 2025</t>
  </si>
  <si>
    <t>SE REPROGRAMÓ DE 0, 5 A 0,3 PARA LA VIGENCIA 2025</t>
  </si>
  <si>
    <t>SE REPROGRAMÓ DE 0  A 0,33  PARA LA VIGENCIA 2025</t>
  </si>
  <si>
    <t>SE REPROGRAMÓ A 427 PARA LA VIGENCIA 2025</t>
  </si>
  <si>
    <t>SE REPROGRAMÓ DE CERO A 0,3 PARA LA VIGENCIA 2025</t>
  </si>
  <si>
    <t>YA ESTABA PROGRAMADA A 2 PARA LA VIGENCIA. PERO FORMALISMO SE REITERA.</t>
  </si>
  <si>
    <t>SE REPROGRAMÓ DE 18 A 14 PARA LA VIGENCIA 2025.</t>
  </si>
  <si>
    <r>
      <rPr>
        <b/>
        <sz val="26"/>
        <color theme="1"/>
        <rFont val="Calibri"/>
        <family val="2"/>
        <scheme val="minor"/>
      </rPr>
      <t>FONDO DE VIVIENDA DE INTERÉS SOCIAL Y REFORMA URBANA DISTRITAL</t>
    </r>
    <r>
      <rPr>
        <b/>
        <sz val="28"/>
        <color theme="1"/>
        <rFont val="Calibri"/>
        <family val="2"/>
        <scheme val="minor"/>
      </rPr>
      <t>. CORVIVIENDA</t>
    </r>
  </si>
  <si>
    <t>AJUSTADAS  POR REDUCCIÓN</t>
  </si>
  <si>
    <t>AJUSTADAS POR AUMENTO</t>
  </si>
  <si>
    <t>OFICINA DE GESTIÓN DE ESPACIO PÚBLICO Y MOVILIDAD</t>
  </si>
  <si>
    <r>
      <t>SECRETARÍA DE PLANEACIÓN</t>
    </r>
    <r>
      <rPr>
        <i/>
        <sz val="7"/>
        <color theme="1"/>
        <rFont val="Calibri Light"/>
        <family val="2"/>
      </rPr>
      <t xml:space="preserve"> </t>
    </r>
  </si>
  <si>
    <t>DEPARTAMENTO ADMINISTRATIVO DE VALORIZACIÓN</t>
  </si>
  <si>
    <t>TOTAL</t>
  </si>
  <si>
    <t>NÚMERO DE METAS PRODUCTO A REPROGRAMAR PARA LA VIGENCIA 2025</t>
  </si>
  <si>
    <t>SE REPROGRAMÓ A 0 PARA ESTA VIGENCIA</t>
  </si>
  <si>
    <t>SE REPROGRAMÓ A  1 PARA ESTA VIGENCIA</t>
  </si>
  <si>
    <t>REVISADO 15 DE SEPTIEMBRE</t>
  </si>
  <si>
    <t>REVISADO 15 DE SEPTIEMBRE 2025</t>
  </si>
  <si>
    <t>REVISADO 15 DE SEPTIEMBRE DE 2025</t>
  </si>
  <si>
    <t>REVISAR EL REPORTE CON ENLACE</t>
  </si>
  <si>
    <t>VALORIZACIÓN REPORTA PARA SEPTIEMBRE 6826</t>
  </si>
  <si>
    <t>REVISAR CON ENLACE YA QUE EL ACUMUALDO 2024 ERA DE 2 Y AHORA REPORTAN 4</t>
  </si>
  <si>
    <t>NO REPORTARON ESTA META EN EL PLAN DE ACCIÓN A CORTE 15 DE SEPTIEMBRE 2025</t>
  </si>
  <si>
    <t>NUEVAMENTE SE COLOCA COMO AVANCE ACUMULADO 2024 9, CUANDO REPORTARON 34.</t>
  </si>
  <si>
    <t>REVISAR, YA QUE EN REPORTE DE JUNIO REPORTARON 98 Y AHORA EN EL REPORTE A SEP 58</t>
  </si>
  <si>
    <t>REPORTARON EN DICIEMBRE DE 2024 UN AVANCE DE 2.952 Y EN SEPTIEMBRE EN EL REPORTE  DE PLAN DE ACCIÓN 3.031</t>
  </si>
  <si>
    <t>EN EL REPORTE DE DICIEMBRE 2024 REPORTARON 8 Y AHORA APARECE 16. ADEMAS DE REPORTAR 43 CUANDO SE PROGRAMARON 4 PARA LA VIGENCIA</t>
  </si>
  <si>
    <t>META CUMPLIDA SEPTIEMBRE 2025</t>
  </si>
  <si>
    <t>REVISAR EL ACUMULADO CUATRIENIO</t>
  </si>
  <si>
    <t>REVISAR CON ENLACE EL INDICADOR DE REPORTE. AUNQUE ES META CUMPLIDA</t>
  </si>
  <si>
    <t>GEPM REPORTA CERO PARA SEPTIEMBRE 2025</t>
  </si>
  <si>
    <t>PARA SEPTIEMBRE 15 DE 2025. HACIENDA NO REPORTA, PERO SEC DE PLANEACIÓN REPORTA  UNA CIFRA DE 0,08</t>
  </si>
  <si>
    <t>0,43</t>
  </si>
  <si>
    <t>HACIENDA NO REPORTÓ NI PLAENACIÓN PARA SEPTIEMBRE 2025</t>
  </si>
  <si>
    <t>REVISAR CON ENLACE EL REPORTE</t>
  </si>
  <si>
    <t>REVISAR CON ENLACE,</t>
  </si>
  <si>
    <t>REVISAR CON ENLACE. YA QUE ESTA META ESTÁ CUMPLIDA</t>
  </si>
  <si>
    <t>REVISAR YA QUE ESTA EMTA SE CUMPLIÓ</t>
  </si>
  <si>
    <t>ACEPTABLE</t>
  </si>
  <si>
    <t xml:space="preserve">EN ESPERA </t>
  </si>
  <si>
    <t>META CUMPLIDA SEP 2025</t>
  </si>
  <si>
    <t>VALORIAZIÓN REPORA PARA SEPTIEMBRE 0,18. SEC INFRAESTRUCTURA REPORTÓ 0</t>
  </si>
  <si>
    <t>REVISAR A LA HORA DE INGRESAR REPORTE DE LA OGRD PARA CORTE DE JUNIO, YA QUE ESA DEPENDENCIA REPORTÓ 1, Y PROGRAMÓ 2. LA SECRETARÍA DE INFRAESTRUCTURA REPORTA CERO EN JUNIO, PERO EN MARZO HABÍA REPORTADO 3. ENTONCES, EN EL AÑO VAN 4 A JUNIO DE 2025.</t>
  </si>
  <si>
    <t>SECREARÍA DE INFRAESTRUCTURA EN SEPTIEMBRE REPORTA CERO. PERO LA OGRD REPORTA 1</t>
  </si>
  <si>
    <t>EPA - SECRETARÍA DE INFRAESTRUCTURA -  EDURBE</t>
  </si>
  <si>
    <t xml:space="preserve">PROGRAMAS </t>
  </si>
  <si>
    <t xml:space="preserve"> GEPM - Secretaría de Hacienda -  Secretaría de Participación y Desarrollo Social</t>
  </si>
  <si>
    <t>AVANCE  NUMERICO META PRODUCTO  CORTE 15 DE NOVIEMBRE 2025</t>
  </si>
  <si>
    <t>OBSERVACIONES NOVIEMBRE 15 DE 2025</t>
  </si>
  <si>
    <t xml:space="preserve">AVANCE  CUARTO* TRIMESTRE 2025 RESPECTO AL PROGRAMADO PARA IGUAL VIGENCIA </t>
  </si>
  <si>
    <t>REVISADO 15 DE NOVIEMBRE</t>
  </si>
  <si>
    <t>META CUMPLIDA NOVIEMBRE 15 DE 2025</t>
  </si>
  <si>
    <t>REVISADO 15 DE NOVIEMBRE 2025</t>
  </si>
  <si>
    <t>REVISADO 15 DE NOVIEMBRE DE 2025</t>
  </si>
  <si>
    <t>REVISADO 15 DE NOVIEMBRE  2025</t>
  </si>
  <si>
    <t>META CUMPLIDA 15 DE NOVIEMBRE</t>
  </si>
  <si>
    <t>REVISADO 15 DE NOVIEMBRE2025</t>
  </si>
  <si>
    <t>REVISADO 15 DE NOVIEMBRE DE 2025 DATT. PERO REVISAR PROGRAMADO CON GEPM</t>
  </si>
  <si>
    <t>REVISADO 15 DE NOVIEMBRE  DE 2025</t>
  </si>
  <si>
    <t>AVANCE JUNIO  - 15 DE SEPTIEMBRE DE 2025</t>
  </si>
  <si>
    <t>DEFICIT O SUPERAVIT ENTRE     JUNIO - 15 DE SEPTIEMBRE  DE  2025</t>
  </si>
  <si>
    <t>AVANCE COMPONENTES IMPULSORES LINEA ESTRATEGICA DESARROLLO ECONOMICO   15 DE NOVIEMBRE DE  DE 2025 RESPECTO AL CUATRIENIO. PONDERADO.</t>
  </si>
  <si>
    <t>AVANCE RESPECTO AL CUATRIENIO DE LOS COMPONENTES IMPULSORES LINEA ESTRATEGICA CIUDAD CONECTADA  15 DE NOVIEMBRE DE  DE 2025. PONDERADO</t>
  </si>
  <si>
    <t>REVISAR CUANDO REPORTEN LAS DOS DEPENDENCIAS RESPONSABLES</t>
  </si>
  <si>
    <t xml:space="preserve">GEPM REPROGRAMÓ DE 4 A 0,1 PARA VIGENCIA 2025. COMO EL DATT TAMBIEN PROGRAMÓ 10 PARA MISMA VIGENCIA, EL ESPERADO ES DE 10,1. </t>
  </si>
  <si>
    <t xml:space="preserve">GEPM REPROGRAMÓ DE 4 A 0,25 PARA VIGENCIA 2025. COMO EL DATT TAMBIEN PROGRAMÓ  5 PARA LA MISMA VIGENCIA, EL ESPERADO ES DE  5,25. PERO LA GEPM Y EL DATT REPORTA CERO PARA SEPTIEMBRE </t>
  </si>
  <si>
    <t>14,8% - 24,68%</t>
  </si>
  <si>
    <t>24,69% - 34,57%</t>
  </si>
  <si>
    <t>34,58% - 44,46%</t>
  </si>
  <si>
    <t>44,47% o más.</t>
  </si>
  <si>
    <t>META CUMPLIDA. 15 DE NOVIEMBRE DE 2025</t>
  </si>
  <si>
    <t>META CUMPLIDA. 15 DE NOVIEMBRE  2025</t>
  </si>
  <si>
    <t>REVISAR CUANDO REPORTE SEC DEL INFRAESTRUCTURA</t>
  </si>
  <si>
    <t>META CUMPLIDA 15 DE NOVIEMBRE DE 2025</t>
  </si>
  <si>
    <t>REVISAR CON ENLACE EL REPORTE DE SEPTIEMBRE Y EL  PROGRAMADO DEL AÑO 2025</t>
  </si>
  <si>
    <t>LA  OGRD REPORTA EN NOVIEMBRE CERO.</t>
  </si>
  <si>
    <t>META CUMPLIDA NOVIEMBRE 2025</t>
  </si>
  <si>
    <t>NO REPORTARON ESTA META EN EL PLAN DE ACCIÓN A CORTE 15 DE NOVIEMBRE 2025</t>
  </si>
  <si>
    <t>META CUMPLIDA Y SUPERADA. PARA REVISAR</t>
  </si>
  <si>
    <t>REVISADO 15 DE NOVIEMBRE. AJUSTADO CON CORRECIÓN DE SEPTIEMBRE</t>
  </si>
  <si>
    <t>15 de Noviembre 2025*</t>
  </si>
  <si>
    <t>0% - 21,87%</t>
  </si>
  <si>
    <t>21,88% - 43,75%</t>
  </si>
  <si>
    <t>43,76% - 65,62%</t>
  </si>
  <si>
    <t>65,63% - 78,75%</t>
  </si>
  <si>
    <t>78,76% - 87,5%</t>
  </si>
  <si>
    <t>NO PROGRAMADO 2025</t>
  </si>
  <si>
    <t>REVISAR REPORTE CON ENLACE</t>
  </si>
  <si>
    <t>REVISAR EL ACUMULADO DE 2024</t>
  </si>
  <si>
    <t>REVISAR, YA QUE  HAY INCONGRUENCIAS EN REPORTE. REVISADO OK</t>
  </si>
  <si>
    <t>REVISAR CON ENLACE. REVISADO OK</t>
  </si>
  <si>
    <t xml:space="preserve">AVANCE  NUMERICO META PRODUCTO  CORTE 31 DICIEMBRE </t>
  </si>
  <si>
    <t>LOGRO  (%) META PRODUCTO RESPECTO AL PROGRAMADO 2025 CORTE 31 DICIEMBRE</t>
  </si>
  <si>
    <t>LOGRO  (%) META PRODUCTO RESPECTO AL PROGRAMADO CUATRIENIO  ACUMULADO DICIEMBRE 31 2025</t>
  </si>
  <si>
    <t>LOGRO  (%) META PRODUCTO RESPECTO AL PROGRAMADO 31 DE DICIEMBRE (PONDERADOR)</t>
  </si>
  <si>
    <t>LOGRO  (%) META PRODUCTO RESPECTO AL PROGRAMADO CUATRIENIO PARCIAL 31 DE DICIEMBRE (PONDERADOR)</t>
  </si>
  <si>
    <t>OBSERVACIONES DICIEMBRE 2024</t>
  </si>
  <si>
    <t>LOGRO (%) RESPECTO AL PROGRAMADO PARA LA VIGENCIA 2025. CORTE DICIEMBRE 31</t>
  </si>
  <si>
    <t>LOGRO  (%) META PRODUCTO RESPECTO AL PROGRAMADO CUATRIENIO 31 DICIEMBRE  2025</t>
  </si>
  <si>
    <t>LOGRO  (%) META PRODUCTO RESPECTO AL PROGRAMADO CUATRIENIO DICIEMBRE 31 DE 2025 (PONDERADOR)</t>
  </si>
  <si>
    <t xml:space="preserve">AVANCE  TRIMESTRE ENERO -DICIEMBRE  DE 2025  </t>
  </si>
  <si>
    <t>AVANCE ACUMULADO  CORTE  DICIEMBRE 31 DE 2025 RESPECTO AL CUATRIENIO</t>
  </si>
  <si>
    <t>LOGRO (%) RESPECTO AL PROGRAMADO PARA LA VIGENCIA 2025 CORTE  DICIEMBRE</t>
  </si>
  <si>
    <t>LOGRO  (%) META PRODUCTO RESPECTO AL PROGRAMADO CUATRIENIO PARCIAL DICIEMBRE 31 DE 2025 (PONDERADOR)</t>
  </si>
  <si>
    <t>CRITERIO DE SEGUMIENTO CORTE  31 DICIEMBRE  DE 2025*</t>
  </si>
  <si>
    <t>AVANCE PLAN DE DESARROLLO 2024 - 2027. CORTE  31 DICIEMBRE 2025</t>
  </si>
  <si>
    <t>NIVEL DE EFICACIA A CORTE 31 DICIEMBRE*</t>
  </si>
  <si>
    <t>AVANCE ACUMULADO 31 DICIEMBRE DE 2025</t>
  </si>
  <si>
    <t>DEFICIT O SUPERAVIT ENTRE      15 DE SEPTIEMBRE   - 31 DICIEMBRE DE 2025</t>
  </si>
  <si>
    <t xml:space="preserve">AVANCE RESPECTO AL CUATRIENIO DE LOS COMPONENTES IMPULSORES LINEA ESTRATEGICA SEGURIDAD HUMANA COMPARATIVO DICIEMBRE 2024 -  31 DE DICIEMBRE DE 2025
</t>
  </si>
  <si>
    <t>AVANCE RESPECTO AL CUATRIENIO DE LOS COMPONENTES IMPULSORES LINEA ESTRATEGICA SEGURIDAD HUMANA  31 DE DICIEMBRE DE 2025. PONDERADO.</t>
  </si>
  <si>
    <t>LOGRO VIGENCIA  CORTE  31 DE DICIEMBRE DE 2025 RESPECTO AL CUATRIENIO</t>
  </si>
  <si>
    <t>LOGRO CORTE  31 DE DICIEMBRE DE 2025 RESPECTO AL CUATRIENIO</t>
  </si>
  <si>
    <t>AVANCE PONDERADO CORTE   31 DE DICIEMBRE DE 2025</t>
  </si>
  <si>
    <t>AVANCE CUATRIENIO COMPONENTE IMPULSOR SEGURIDAD CIUDADANA Y ORDEN PÚBLICO  CORTE  31 DE DICIEMBRE DE 2025</t>
  </si>
  <si>
    <t>AVANCE CUATRIENIO COMPONENTE IMPULSOR CONSTRUCCIÓN DE PAZ, DERECHOS HUMANOS Y CONVIVENCIA. CORTE  31 DE DICIEMBRE DE 2025</t>
  </si>
  <si>
    <t>AVANCE CUATRIENIO COMPONENTE IMPULSOR SALUD PÚBLICA Y ASEGURAMIENTO. CORTE  31 DE DICIEMBRE DE 2025</t>
  </si>
  <si>
    <t>AVANCE CUATRIENIO COMPONENTE IMPULSOR ATENCIÓN INTEGRAL A GRUPOS DE ESPECIAL PROTECCIÓN.   CORTE  31 DE DICIEMBRE DE 2025</t>
  </si>
  <si>
    <t>AVANCE CUATRIENIO COMPONENTE IMPULSOR  SUPERACIÓN DE LA POBREZA EXTREMA Y SOBERANIA ALIMENTARIA.  CORTE  31 DE DICIEMBRE DE 2025</t>
  </si>
  <si>
    <t>AVANCE  PARCIAL VIGENCIA  CORTE  31 DE DICIEMBRE DE 2025</t>
  </si>
  <si>
    <t>AVANCE CUATRIENIO  CORTE  31 DE DICIEMBRE DE 2025. PROGRAMAS.</t>
  </si>
  <si>
    <t xml:space="preserve">AVANCE RESPECTO AL CUATRIENIO DE LOS COMPONENTES IMPULSORES LINEA ESTRATEGICA VIDA DIGNA  COMPARATIVO DICIEMBRE 2024 - 31 DE DICIEMBRE DE 2025
</t>
  </si>
  <si>
    <t xml:space="preserve">AVANCE RESPECTO AL CUATRIENIO DE LOS COMPONENTES IMPULSORES LINEA ESTRATEGICA VIDA DIGNA  31 DE DICIEMBRE DE 2025. PONDERADO.
</t>
  </si>
  <si>
    <t>LOGRO VIGENCIA  CORTE 31 DE DICIEMBRE DE 2025 RESPECTO AL CUATRIENIO</t>
  </si>
  <si>
    <t>LOGRO CORTE 31 DE DICIEMBRE DE 2025 RESPECTO AL CUATRIENIO</t>
  </si>
  <si>
    <t>AVANCE PONDERADO CORTE  31 DE DICIEMBRE DE 2025</t>
  </si>
  <si>
    <t>AVANCE CUATRIENIO COMPONENTE IMPULSOR EDUCACIÓN  CORTE 31 DE DICIEMBRE DE 2025</t>
  </si>
  <si>
    <t>AVANCE CUATRIENIO COMPONENTE IMPULSOR ACCESO A SERVICIOS BÁSICOS CORTE 31 DE DICIEMBRE DE 2025</t>
  </si>
  <si>
    <t>AVANCE CUATRIENIO COMPONENTE IMPULSOR VIVIENDA DIGNA Y HÁBITATCORTE 31 DE DICIEMBRE DE 2025</t>
  </si>
  <si>
    <t>AVANCE CUATRIENIO COMPONENTE IMPULSOR ARTES, CULTURA Y PATRIMONIO CORTE 31 DE DICIEMBRE DE 2025</t>
  </si>
  <si>
    <t>AVANCE CUATRIENIO COMPONENTE IMPULSOR DEPORTES Y RECREACIÓN  CORTE 31 DE DICIEMBRE DE 2025</t>
  </si>
  <si>
    <t>AVANCE CUATRIENIO COMPONENTE IMPULSOR INFANCIA, ADOLESCENCIA Y FAMILIA CORTE 31 DE DICIEMBRE DE 2025</t>
  </si>
  <si>
    <t>AVANCE  PARCIAL VIGENCIA  CORTE 31 DE DICIEMBRE DE 2025</t>
  </si>
  <si>
    <t>AVANCE CUATRIENIO  CORTE 31 DE DICIEMBRE DE 2025. PROGRAMAS.</t>
  </si>
  <si>
    <t>AVANCE RESPECTO AL CUATRIENIO DE LOS COMPONENTES IMPULSORES LINEA ESTRATEGICA DESARROLLO ECONOMICO  COMPARATIVO DICIEMBRE 2024 - 31 DE DICIEMBRE DE 2025</t>
  </si>
  <si>
    <t>AVANCE PONDERADO CORTE 31 DE DICIEMBRE DE 2025</t>
  </si>
  <si>
    <t>AVANCE CUATRIENIO IMPULSOR DE AVANCE: COMPETITIVIDAD E INNOVACIÓN. CORTE 31 DE DICIEMBRE DE 2025</t>
  </si>
  <si>
    <t>AVANCE CUATRIENIO IMPULSOR DE AVANCE: DIVERSIFICACIÓN ECONOMICA. CORTE 31 DE DICIEMBRE DE 2025</t>
  </si>
  <si>
    <t>AVANCE CUATRIENIO IMPULSOR DE AVANCE: TRABAJO DECENTE Y CIERRE DE BRECHAS. CORTE 31 DE DICIEMBRE DE 2025</t>
  </si>
  <si>
    <t>AVANCE CUATRIENIO IMPULSOR DE AVANCE: ECONOMÍA POPULAR Y EMPRENDIMIENTO. CORTE 31 DE DICIEMBRE DE 2025</t>
  </si>
  <si>
    <t>AVANCE CUATRIENIO IMPULSOR DE AVANCE: TURISMO SOSTENIBLE Y RESPONSABLE. CORTE 31 DE DICIEMBRE DE 2025</t>
  </si>
  <si>
    <t>AVANCE CUATRIENIO IMPULSOR DE AVANCE: DESARROLLO AGROPECUARIO. CORTE 31 DE DICIEMBRE DE 2025</t>
  </si>
  <si>
    <t>AVANCE CUATRIENIO IMPULSOR DE AVANCE: SISTEMA INTEGRAL DE ABASTECIMIENTO. CORTE 31 DE DICIEMBRE DE 2025</t>
  </si>
  <si>
    <t xml:space="preserve">AVANCE RESPECTO AL CUATRIENIO DE LOS COMPONENTES IMPULSORES LINEA ESTRATÉGICA CIUDAD CONECTADA. COMPARATIVO DICIEMBRE DE  2024 - 31 DE DICIEMBRE DE 2025
</t>
  </si>
  <si>
    <t>AVANCE CUATRIENIO IMPULSOR DE AVANCE: ORDENAMIENTO DEL TERRITORIO. CORTE 31 DE DICIEMBRE DE 2025.</t>
  </si>
  <si>
    <t>AVANCE CUATRIENIO IMPULSOR DE AVANCE: CONTROL URBANISTICO. CORTE 31 DE DICIEMBRE DE 2025</t>
  </si>
  <si>
    <t>AVANCE CUATRIENIO IMPULSOR DE AVANCE: CARTAGENA AMIGABLE CON EL AMBIENTE. CORTE 31 DE DICIEMBRE DE 2025</t>
  </si>
  <si>
    <t>AVANCE CUATRIENIO IMPULSOR DE AVANCE: CARTAGENA ADAPTADA AL CLIMA Y RESILIENTE. CORTE 31 DE DICIEMBRE DE 2025</t>
  </si>
  <si>
    <t>AVANCE CUATRIENIO IMPULSOR DE AVANCE: CIUDAD HISTORICA Y PATRIMONIAL. CORTE 31 DE DICIEMBRE DE 2025</t>
  </si>
  <si>
    <t>AVANCE CUATRIENIO IMPULSOR DE AVANCE: INFRAESTRUCTURA, MOVILIDAD Y ACCESIBILIDAD.  CORTE 31 DE DICIEMBRE DE 2025</t>
  </si>
  <si>
    <t>AVANCE CUATRIENIO IMPULSOR DE AVANCE: CARTAGENA ORDENADA ALREDEDOR DEL AGUA. CORTE 31 DE DICIEMBRE DE 2025</t>
  </si>
  <si>
    <t xml:space="preserve">AVANCE RESPECTO AL CUATRIENIO DE LOS COMPONENTES IMPULSORES LINEA ESTRATÉGICA INNOVACIÓN Y PARTICIPACIÓN. COMPARATIVO DICIEMBRE DE  2024 - 31 DE DICIEMBRE DE 2025
</t>
  </si>
  <si>
    <t>AVANCE RESPECTO AL CUATRIENIO DE LOS COMPONENTES IMPULSORES LINEA ESTRATEGICA INNOVACIÓN Y PARTICIPACIÓN. 31 DE DICIEMBRE DE 2025.  PONDERADO</t>
  </si>
  <si>
    <t>AVANCE CUATRIENIO IMPULSOR DE AVANCE: TRANSPARENCIA Y GOBIERNO ABIERTO. CORTE 31 DE DICIEMBRE DE 2025</t>
  </si>
  <si>
    <t>AVANCE CUATRIENIO IMPULSOR DE AVANCE: FORTALECIMIENTO INSTITUCIONAL. CORTE 31 DE DICIEMBRE DE 2025</t>
  </si>
  <si>
    <t>AVANCE CUATRIENIO IMPULSOR DE AVANCE: FINANZAS PÚBLICAS. CORTE 31 DE DICIEMBRE DE 2025</t>
  </si>
  <si>
    <t>AVANCE CUATRIENIO IMPULSOR DE AVANCE: CULTURA CIUDADANA. CORTE 31 DE DICIEMBRE DE 2025</t>
  </si>
  <si>
    <t>AVANCE CUATRIENIO IMPULSOR DE AVANCE: PARTICIPACIÓN CIUDADANA Y ACCIÓN COMUNAL. CORTE 31 DE DICIEMBRE DE 2025</t>
  </si>
  <si>
    <t>AVANCE CUATRIENIO IMPULSOR DE AVANCE: SISTEMA DE PLANEACIÓN DISTRITAL. CORTE 31 DE DICIEMBRE DE 2025</t>
  </si>
  <si>
    <t xml:space="preserve">  AVANCE RESPECTO AL CUATRIENIO DE LOS COMPONENTES IMPULSORES CAPÍTULO DE LOS PUEBLOS Y COMUNIDADES ÉTNICAS. COMPARATIVO DICIEMBRE DE  2024 - 31 DE DICIEMBRE DE 2025
</t>
  </si>
  <si>
    <t>AVANCE CUATRIENIO IMPULSOR DE AVANCE: FORTALECIMIENTO AL DESARROLLO AFRO-TERRITORIAL DE LA POBLACIÓN NEGRA, AFROCOLOMBIANA, RAIZAL Y PALENQUERA. CORTE 31 DE DICIEMBRE DE 2025</t>
  </si>
  <si>
    <t>AVANCE CUATRIENIO IMPULSOR DE AVANCE: TERRITORIO SITIO DE PAZ Y PENSAMIENTO COLECTIVO. CORTE 31 DE DICIEMBRE DE 2025</t>
  </si>
  <si>
    <t>AVANCE ACUMULADO META PRODUCTO CORTE  31 DE DICIEMBRE DE 2025.</t>
  </si>
  <si>
    <t>REVISADO 31 DE DICIEMBRE</t>
  </si>
  <si>
    <t>REVISAR CON ENLACE EL CUMPLIEMIENTO REPORTADO</t>
  </si>
  <si>
    <t>AVANCE PARCIAL NOVIEMBRE 2025*</t>
  </si>
  <si>
    <t>AVANCE JUNIO  15 DE SEPTIEMBRE -31 DE DICIEMBRE DE 2025</t>
  </si>
  <si>
    <t>META LOGRADA 31 DE DICIEMBRE 2024</t>
  </si>
  <si>
    <t>META CUMPLIDA 31 DE DICIEMBRE 2025</t>
  </si>
  <si>
    <t>REVISADO 31 DE DICIEMBRE 2025</t>
  </si>
  <si>
    <t>LA SPDS  REPORTA A DICIEMBRE 2025 LA CIFRA DE 151, PERO NO ESTABA PROGRAMADA Y EN EL PLAN DE ACCIÓN DE ESA DEPENDENCIA NO SE CONTABILIZA PARA LA VIGENCIA, PERO SI PARA EL CUATRIENIO.</t>
  </si>
  <si>
    <t>META CUMPLIDA DICIEMBRE 2025</t>
  </si>
  <si>
    <t>REVISADO 31 DE DICIEMBRE DE 2025</t>
  </si>
  <si>
    <t>REVISADO 31 DE DICIEMBRE  DE 2025</t>
  </si>
  <si>
    <t>NO REPORTARON ESTA META EN EL PLAN DE ACCIÓN A CORTE 31 DE DICIEMBRE 2025</t>
  </si>
  <si>
    <t>MUY ALTO</t>
  </si>
  <si>
    <t>REVISAR CON ENLACE EL REPORTE ACUMULADO DEL 2024 Y EL  PROGRAMADO DEL AÑO 2025</t>
  </si>
  <si>
    <t>REVISAR CON ENLACE YA QUE CON EL ACUMULADO 2024, ESTA META ESTÁ CUMPLIDA</t>
  </si>
  <si>
    <t>META CUMPLIDA A DICIEMBRE DE 2025</t>
  </si>
  <si>
    <t>SE INCLUYE MANUAL EL 100% DE LOGRADO PARA EL AÑO AUNQUE NO SE SE PROGRAMÓ PARA LA VIGENCIA. SE PROGRAMÓ 0,3 PARA EL AÑO*</t>
  </si>
  <si>
    <t>SE INCLUYE AVANCE DEL AÑO, SE LE COLOCA MANUAL EL AVANCE DEL  AÑO Y EL DEL CUATRIENIO PARA QUE COINCIDA CON EL DE LUZ MARLENE.</t>
  </si>
  <si>
    <t>EL ESPERADO PARA EL CUATRIENIO ES 1 NO 4, POR ESO DE AQUÍ EN ADELANTE, EL DENOMINDOR ES 1.</t>
  </si>
  <si>
    <t>REVISADO 31 DE DICIEMBRE  DE 2025. EL DENOMINADOR CAMBIA DE 16 A 4 DE AHORA EN ADELANTE, YA QUE EL ESPERADO DEL CUATRIENIO PASA DE 16 A 4.</t>
  </si>
  <si>
    <t>LA  OGRD REPORTA EN DICIEMBRE CERO.  SEC DE INFRAESTRUCTURA TAMBIEN REPORTA CERO</t>
  </si>
  <si>
    <t>REVISAR LA FORMA DE REPORTE CON EL ENLACE.</t>
  </si>
  <si>
    <t>REVISAR  EL REPORTE NO COINCIDE CON EL DE SEPTIEMBRE, JUNIO Y MARZO DE 2025</t>
  </si>
  <si>
    <t>REVISAR CON ENLACE EL REPORTE DE MARZO, QUE APARECE EN EL ULTIMO REPORTE COMO 0,1, Y EN EL DE SEPTIEMBRE CERO, PARA EL CORTE DE MARZO.</t>
  </si>
  <si>
    <r>
      <t xml:space="preserve">REVISAR CON ENLACE, YA QUE EN EL REPORTE DE PLAN DE ACCIÓN TIENE OTRO NOMBRE ESTE PROGRAMA. </t>
    </r>
    <r>
      <rPr>
        <b/>
        <sz val="14"/>
        <rFont val="Calibri"/>
        <family val="2"/>
      </rPr>
      <t>REVISAR CON ENLACE YA QUE EL REPORTE DE SEPTIEMBRE EN EL ULTIMO RPEORTE ESTÁ EN 0,1, Y EN EL DE CORTE SEPTIEMBRE ANTERIOR, ESTÁ 0,01</t>
    </r>
  </si>
  <si>
    <t>REVISAR CON ENLACE EL ACUMULADO REPORTADO PARA DICIEMBRE DE 2024</t>
  </si>
  <si>
    <t>REVISAR REPORTE DE JUNIO Y SEPTIEMBRE</t>
  </si>
  <si>
    <t>REVISAR REPORTE DE SEPTIEMBRE</t>
  </si>
  <si>
    <t>REVISAR CON ENLACE, SE SUPONE QUE AL REPORTAR 1 EN  JUNIO, NO DEBIERON REPORTAR MAS. QUEDA ENTONCES META CUMPLIDA</t>
  </si>
  <si>
    <t>REVISAR EL PROGRAMADO PARA LA VIGENCIA 2025</t>
  </si>
  <si>
    <t xml:space="preserve">REVISAR EL PROGRAMADO PARA LA VIGENCIA 2025. </t>
  </si>
  <si>
    <t>REVISAR CON ENLACE, YA QUE REPORTARON UNA CIFRA DIFERENTE A  LA QUE YA SE REPORTÓ EN SEPTIEMBRE.</t>
  </si>
  <si>
    <t>REVISAR CON ENLACE  QUE AJUSTAN EL REPORTE DE MARZO, CUANDO YA HA PASADO 9 MESES.</t>
  </si>
  <si>
    <t>META  SIN PROGRAMACIÓN POR PARTE DE RESPONSABLES</t>
  </si>
  <si>
    <t>NO REPORTADO EN PLAN DE ACCIÓN  DE SEC DE INFRAESTRUCTURA</t>
  </si>
  <si>
    <t>REVISAR CON ENLACE, LA EVIDENCIA VISUAL NO COINCIDE CON LA REPORTADA</t>
  </si>
  <si>
    <t>ESTA META NO SE HABÍA PROGRAMADO PARA VIGENCIA, ASÍ QUE SOLO SE CALCULA EL AVANCE PARA EL ACUMULADO DEL CUATRIENIO</t>
  </si>
  <si>
    <t>SEC DE INFRAESTRUCTURA REPORTA 0,25  Y VALORIZACIÓN 0,125 PARA EL ULTIMO REPORTE A DICIEMBRE 2025.</t>
  </si>
  <si>
    <t>REVISADO CON ENLACE. SE CAMBIÓ EL ESPERADO A 200 PARA LA VIGENCIA 2025.</t>
  </si>
  <si>
    <t>SE INCLUYE UNA PROGRAMACION DE 1 PARA LA VIGENCIA 2025. POR ELLO, SE ALCANZA UN AVANCE PARA ESE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</si>
</sst>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 #,##0.00_-;\-&quot;$&quot;\ * #,##0.00_-;_-&quot;$&quot;\ * &quot;-&quot;??_-;_-@_-"/>
    <numFmt numFmtId="43" formatCode="_-* #,##0.00_-;\-* #,##0.00_-;_-* &quot;-&quot;??_-;_-@_-"/>
    <numFmt numFmtId="164" formatCode="0.000%"/>
    <numFmt numFmtId="165" formatCode="0.0%"/>
    <numFmt numFmtId="166" formatCode="d/m"/>
    <numFmt numFmtId="167" formatCode="0.000"/>
    <numFmt numFmtId="168" formatCode="0.0000"/>
    <numFmt numFmtId="169" formatCode="_-* #,##0_-;\-* #,##0_-;_-* &quot;-&quot;??_-;_-@_-"/>
    <numFmt numFmtId="170" formatCode="0.0"/>
    <numFmt numFmtId="171" formatCode="0.00\ %;\-0.00\ %;0.00\ %"/>
    <numFmt numFmtId="172" formatCode="0.0\ %;\-0.0\ %;0.0\ %"/>
    <numFmt numFmtId="173" formatCode="0.00000%"/>
    <numFmt numFmtId="174" formatCode="_-* #,##0.0_-;\-* #,##0.0_-;_-* &quot;-&quot;??_-;_-@_-"/>
  </numFmts>
  <fonts count="14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26"/>
      <color theme="1"/>
      <name val="Calibri"/>
      <family val="2"/>
    </font>
    <font>
      <b/>
      <sz val="46"/>
      <color rgb="FF0000FF"/>
      <name val="Calibri"/>
      <family val="2"/>
      <scheme val="minor"/>
    </font>
    <font>
      <b/>
      <sz val="46"/>
      <color rgb="FF0000FF"/>
      <name val="Calibri"/>
      <family val="2"/>
    </font>
    <font>
      <b/>
      <sz val="41"/>
      <color rgb="FFFF0000"/>
      <name val="Calibri"/>
      <family val="2"/>
      <scheme val="minor"/>
    </font>
    <font>
      <b/>
      <sz val="33"/>
      <color theme="1"/>
      <name val="Calibri"/>
      <family val="2"/>
      <scheme val="minor"/>
    </font>
    <font>
      <b/>
      <sz val="31"/>
      <color theme="1"/>
      <name val="Calibri"/>
      <family val="2"/>
      <scheme val="minor"/>
    </font>
    <font>
      <b/>
      <sz val="73"/>
      <color rgb="FF0C343D"/>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4"/>
      <color theme="1"/>
      <name val="Calibri"/>
      <family val="2"/>
      <scheme val="minor"/>
    </font>
    <font>
      <b/>
      <sz val="36"/>
      <color theme="1"/>
      <name val="Calibri"/>
      <family val="2"/>
      <scheme val="minor"/>
    </font>
    <font>
      <b/>
      <sz val="28"/>
      <color theme="1"/>
      <name val="Calibri"/>
      <family val="2"/>
      <scheme val="minor"/>
    </font>
    <font>
      <b/>
      <sz val="22"/>
      <color theme="1"/>
      <name val="Calibri"/>
      <family val="2"/>
      <scheme val="minor"/>
    </font>
    <font>
      <b/>
      <sz val="8"/>
      <color theme="1"/>
      <name val="Times New Roman"/>
      <family val="1"/>
    </font>
    <font>
      <sz val="8"/>
      <color theme="1"/>
      <name val="Times New Roman"/>
      <family val="1"/>
    </font>
    <font>
      <b/>
      <sz val="10"/>
      <color theme="1"/>
      <name val="Times New Roman"/>
      <family val="1"/>
    </font>
    <font>
      <sz val="10"/>
      <color theme="1"/>
      <name val="Times New Roman"/>
      <family val="1"/>
    </font>
    <font>
      <sz val="48"/>
      <color theme="1"/>
      <name val="Calibri"/>
      <family val="2"/>
      <scheme val="minor"/>
    </font>
    <font>
      <b/>
      <sz val="14"/>
      <color theme="1"/>
      <name val="Calibri"/>
      <family val="2"/>
    </font>
    <font>
      <b/>
      <sz val="26"/>
      <name val="Calibri"/>
      <family val="2"/>
    </font>
    <font>
      <b/>
      <sz val="36"/>
      <name val="Calibri"/>
      <family val="2"/>
    </font>
    <font>
      <b/>
      <sz val="33"/>
      <color theme="1"/>
      <name val="Calibri"/>
      <family val="2"/>
      <scheme val="minor"/>
    </font>
    <font>
      <b/>
      <sz val="48"/>
      <name val="Calibri"/>
      <family val="2"/>
      <scheme val="minor"/>
    </font>
    <font>
      <b/>
      <sz val="14"/>
      <color theme="1"/>
      <name val="Calibri"/>
      <family val="2"/>
      <scheme val="minor"/>
    </font>
    <font>
      <b/>
      <sz val="85"/>
      <name val="Bodoni MT"/>
      <family val="1"/>
    </font>
    <font>
      <b/>
      <sz val="14"/>
      <color theme="0"/>
      <name val="Calibri"/>
      <family val="2"/>
    </font>
    <font>
      <b/>
      <sz val="14"/>
      <color rgb="FFFF0000"/>
      <name val="Calibri"/>
      <family val="2"/>
    </font>
    <font>
      <b/>
      <i/>
      <sz val="45"/>
      <color theme="1"/>
      <name val="Calibri"/>
      <family val="2"/>
      <scheme val="minor"/>
    </font>
    <font>
      <b/>
      <sz val="46"/>
      <name val="Calibri"/>
      <family val="2"/>
      <scheme val="minor"/>
    </font>
    <font>
      <sz val="26"/>
      <color theme="1"/>
      <name val="Calibri"/>
      <family val="2"/>
      <scheme val="minor"/>
    </font>
    <font>
      <b/>
      <sz val="9"/>
      <color theme="1"/>
      <name val="Calibri"/>
      <family val="2"/>
      <scheme val="minor"/>
    </font>
    <font>
      <b/>
      <sz val="12"/>
      <color theme="1"/>
      <name val="Calibri"/>
      <family val="2"/>
      <scheme val="minor"/>
    </font>
    <font>
      <sz val="28"/>
      <color theme="1"/>
      <name val="Calibri"/>
      <family val="2"/>
      <scheme val="minor"/>
    </font>
    <font>
      <b/>
      <sz val="16"/>
      <name val="Calibri"/>
      <family val="2"/>
    </font>
    <font>
      <b/>
      <sz val="11"/>
      <color rgb="FFFF0000"/>
      <name val="Calibri"/>
      <family val="2"/>
      <scheme val="minor"/>
    </font>
    <font>
      <b/>
      <i/>
      <sz val="14"/>
      <color theme="1"/>
      <name val="Calibri"/>
      <family val="2"/>
      <scheme val="minor"/>
    </font>
    <font>
      <sz val="16"/>
      <name val="Calibri"/>
      <family val="2"/>
    </font>
    <font>
      <sz val="16"/>
      <name val="Calibri"/>
      <family val="2"/>
      <scheme val="minor"/>
    </font>
    <font>
      <b/>
      <i/>
      <sz val="16"/>
      <name val="Calibri"/>
      <family val="2"/>
    </font>
    <font>
      <b/>
      <sz val="16"/>
      <name val="Calibri"/>
      <family val="2"/>
      <scheme val="minor"/>
    </font>
    <font>
      <sz val="36"/>
      <name val="Calibri"/>
      <family val="2"/>
    </font>
    <font>
      <sz val="36"/>
      <name val="Calibri"/>
      <family val="2"/>
      <scheme val="minor"/>
    </font>
    <font>
      <b/>
      <sz val="12"/>
      <color theme="1"/>
      <name val="Times New Roman"/>
      <family val="1"/>
    </font>
    <font>
      <b/>
      <sz val="12"/>
      <color rgb="FFFF0000"/>
      <name val="Times New Roman"/>
      <family val="1"/>
    </font>
    <font>
      <sz val="14"/>
      <name val="Arial"/>
      <family val="2"/>
    </font>
    <font>
      <sz val="14"/>
      <name val="Calibri"/>
      <family val="2"/>
    </font>
    <font>
      <b/>
      <sz val="14"/>
      <name val="Calibri"/>
      <family val="2"/>
    </font>
    <font>
      <sz val="14"/>
      <name val="Calibri"/>
      <family val="2"/>
      <scheme val="minor"/>
    </font>
    <font>
      <b/>
      <sz val="14"/>
      <name val="Calibri"/>
      <family val="2"/>
      <scheme val="minor"/>
    </font>
    <font>
      <b/>
      <i/>
      <sz val="14"/>
      <name val="Calibri"/>
      <family val="2"/>
    </font>
    <font>
      <sz val="28"/>
      <name val="Calibri"/>
      <family val="2"/>
    </font>
    <font>
      <b/>
      <sz val="28"/>
      <name val="Calibri"/>
      <family val="2"/>
    </font>
    <font>
      <b/>
      <sz val="28"/>
      <name val="Calibri"/>
      <family val="2"/>
      <scheme val="minor"/>
    </font>
    <font>
      <sz val="28"/>
      <name val="Calibri"/>
      <family val="2"/>
      <scheme val="minor"/>
    </font>
    <font>
      <sz val="38"/>
      <name val="Calibri"/>
      <family val="2"/>
    </font>
    <font>
      <b/>
      <sz val="38"/>
      <name val="Calibri"/>
      <family val="2"/>
    </font>
    <font>
      <b/>
      <sz val="38"/>
      <name val="Calibri"/>
      <family val="2"/>
      <scheme val="minor"/>
    </font>
    <font>
      <sz val="38"/>
      <name val="Calibri"/>
      <family val="2"/>
      <scheme val="minor"/>
    </font>
    <font>
      <b/>
      <sz val="34"/>
      <name val="Calibri"/>
      <family val="2"/>
    </font>
    <font>
      <sz val="34"/>
      <name val="Calibri"/>
      <family val="2"/>
    </font>
    <font>
      <sz val="15"/>
      <name val="Calibri"/>
      <family val="2"/>
    </font>
    <font>
      <b/>
      <sz val="15"/>
      <name val="Calibri"/>
      <family val="2"/>
    </font>
    <font>
      <sz val="15"/>
      <name val="Calibri"/>
      <family val="2"/>
      <scheme val="minor"/>
    </font>
    <font>
      <b/>
      <sz val="15"/>
      <name val="Calibri"/>
      <family val="2"/>
      <scheme val="minor"/>
    </font>
    <font>
      <b/>
      <i/>
      <sz val="15"/>
      <name val="Calibri"/>
      <family val="2"/>
    </font>
    <font>
      <sz val="15"/>
      <name val="Arial"/>
      <family val="2"/>
    </font>
    <font>
      <sz val="15"/>
      <name val="Calibri Light"/>
      <family val="2"/>
    </font>
    <font>
      <b/>
      <sz val="48"/>
      <name val="Calibri"/>
      <family val="2"/>
    </font>
    <font>
      <sz val="14"/>
      <color rgb="FF00B050"/>
      <name val="Calibri"/>
      <family val="2"/>
    </font>
    <font>
      <sz val="14"/>
      <color rgb="FF00B050"/>
      <name val="Calibri"/>
      <family val="2"/>
      <scheme val="minor"/>
    </font>
    <font>
      <sz val="18"/>
      <name val="Calibri"/>
      <family val="2"/>
    </font>
    <font>
      <b/>
      <sz val="18"/>
      <name val="Calibri"/>
      <family val="2"/>
    </font>
    <font>
      <b/>
      <sz val="18"/>
      <name val="Calibri"/>
      <family val="2"/>
      <scheme val="minor"/>
    </font>
    <font>
      <sz val="18"/>
      <name val="Calibri"/>
      <family val="2"/>
      <scheme val="minor"/>
    </font>
    <font>
      <b/>
      <sz val="18"/>
      <color rgb="FFFF0000"/>
      <name val="Calibri"/>
      <family val="2"/>
    </font>
    <font>
      <b/>
      <i/>
      <sz val="18"/>
      <name val="Calibri"/>
      <family val="2"/>
    </font>
    <font>
      <b/>
      <sz val="26"/>
      <color theme="1"/>
      <name val="Calibri"/>
      <family val="2"/>
      <scheme val="minor"/>
    </font>
    <font>
      <b/>
      <sz val="26"/>
      <color rgb="FFFF0000"/>
      <name val="Calibri"/>
      <family val="2"/>
      <scheme val="minor"/>
    </font>
    <font>
      <b/>
      <sz val="40"/>
      <name val="Calibri"/>
      <family val="2"/>
    </font>
    <font>
      <b/>
      <sz val="72"/>
      <color rgb="FFFF0000"/>
      <name val="Bodoni MT"/>
      <family val="1"/>
    </font>
    <font>
      <b/>
      <sz val="11"/>
      <name val="Calibri"/>
      <family val="2"/>
      <scheme val="minor"/>
    </font>
    <font>
      <b/>
      <sz val="18"/>
      <color theme="1"/>
      <name val="Calibri"/>
      <family val="2"/>
    </font>
    <font>
      <sz val="18"/>
      <color theme="1"/>
      <name val="Calibri"/>
      <family val="2"/>
      <scheme val="minor"/>
    </font>
    <font>
      <b/>
      <sz val="46"/>
      <color rgb="FFFF0000"/>
      <name val="Calibri"/>
      <family val="2"/>
    </font>
    <font>
      <sz val="21"/>
      <name val="Calibri"/>
      <family val="2"/>
    </font>
    <font>
      <b/>
      <sz val="21"/>
      <name val="Calibri"/>
      <family val="2"/>
    </font>
    <font>
      <b/>
      <sz val="21"/>
      <name val="Calibri"/>
      <family val="2"/>
      <scheme val="minor"/>
    </font>
    <font>
      <sz val="21"/>
      <name val="Calibri"/>
      <family val="2"/>
      <scheme val="minor"/>
    </font>
    <font>
      <b/>
      <sz val="20"/>
      <name val="Calibri"/>
      <family val="2"/>
    </font>
    <font>
      <sz val="20"/>
      <name val="Calibri"/>
      <family val="2"/>
    </font>
    <font>
      <sz val="11"/>
      <color indexed="8"/>
      <name val="Calibri"/>
      <family val="2"/>
    </font>
    <font>
      <sz val="11"/>
      <color theme="4" tint="-0.499984740745262"/>
      <name val="Calibri"/>
      <family val="2"/>
    </font>
    <font>
      <b/>
      <sz val="11"/>
      <color indexed="8"/>
      <name val="Calibri"/>
      <family val="2"/>
    </font>
    <font>
      <sz val="11"/>
      <name val="Calibri"/>
      <family val="2"/>
    </font>
    <font>
      <sz val="11"/>
      <color rgb="FF00B050"/>
      <name val="Calibri"/>
      <family val="2"/>
    </font>
    <font>
      <b/>
      <sz val="11"/>
      <color rgb="FFFF0000"/>
      <name val="Calibri"/>
      <family val="2"/>
    </font>
    <font>
      <b/>
      <sz val="11"/>
      <name val="Calibri"/>
      <family val="2"/>
    </font>
    <font>
      <sz val="11"/>
      <name val="Calibri"/>
      <family val="2"/>
      <scheme val="minor"/>
    </font>
    <font>
      <b/>
      <sz val="72"/>
      <name val="Calibri"/>
      <family val="2"/>
    </font>
    <font>
      <b/>
      <sz val="26"/>
      <name val="Calibri"/>
      <family val="2"/>
      <scheme val="minor"/>
    </font>
    <font>
      <sz val="11"/>
      <color theme="1"/>
      <name val="Calibri"/>
      <family val="2"/>
      <scheme val="minor"/>
    </font>
    <font>
      <sz val="15"/>
      <color theme="1"/>
      <name val="Calibri"/>
      <family val="2"/>
      <scheme val="minor"/>
    </font>
    <font>
      <sz val="20"/>
      <color theme="1"/>
      <name val="Calibri"/>
      <family val="2"/>
      <scheme val="minor"/>
    </font>
    <font>
      <b/>
      <sz val="17"/>
      <color theme="1"/>
      <name val="Calibri"/>
      <family val="2"/>
      <scheme val="minor"/>
    </font>
    <font>
      <b/>
      <sz val="16"/>
      <color rgb="FFFF0000"/>
      <name val="Calibri"/>
      <family val="2"/>
      <scheme val="minor"/>
    </font>
    <font>
      <b/>
      <sz val="25"/>
      <color theme="1"/>
      <name val="Calibri"/>
      <family val="2"/>
      <scheme val="minor"/>
    </font>
    <font>
      <i/>
      <sz val="7"/>
      <color theme="1"/>
      <name val="Calibri Light"/>
      <family val="2"/>
    </font>
    <font>
      <sz val="24"/>
      <color theme="1"/>
      <name val="Calibri"/>
      <family val="2"/>
      <scheme val="minor"/>
    </font>
    <font>
      <sz val="16"/>
      <color rgb="FF00B050"/>
      <name val="Calibri"/>
      <family val="2"/>
    </font>
    <font>
      <b/>
      <sz val="36"/>
      <name val="Calibri"/>
      <family val="2"/>
      <scheme val="minor"/>
    </font>
    <font>
      <b/>
      <sz val="24"/>
      <name val="Times New Roman"/>
      <family val="1"/>
    </font>
    <font>
      <b/>
      <sz val="34"/>
      <name val="Calibri"/>
      <family val="2"/>
      <scheme val="minor"/>
    </font>
    <font>
      <sz val="12"/>
      <color theme="1"/>
      <name val="Calibri"/>
      <family val="2"/>
      <scheme val="minor"/>
    </font>
    <font>
      <sz val="30"/>
      <color theme="1"/>
      <name val="Calibri"/>
      <family val="2"/>
      <scheme val="minor"/>
    </font>
    <font>
      <b/>
      <sz val="18"/>
      <color theme="1"/>
      <name val="Times New Roman"/>
      <family val="1"/>
    </font>
    <font>
      <b/>
      <sz val="14"/>
      <color rgb="FF00B050"/>
      <name val="Calibri"/>
      <family val="2"/>
      <scheme val="minor"/>
    </font>
    <font>
      <sz val="18"/>
      <color theme="1"/>
      <name val="Times New Roman"/>
      <family val="1"/>
    </font>
    <font>
      <sz val="15"/>
      <color rgb="FF00B050"/>
      <name val="Calibri"/>
      <family val="2"/>
    </font>
    <font>
      <b/>
      <sz val="15"/>
      <color rgb="FFFF0000"/>
      <name val="Calibri"/>
      <family val="2"/>
    </font>
    <font>
      <sz val="15"/>
      <color rgb="FF00B050"/>
      <name val="Arial"/>
      <family val="2"/>
    </font>
    <font>
      <b/>
      <sz val="20"/>
      <color theme="1"/>
      <name val="Calibri"/>
      <family val="2"/>
      <scheme val="minor"/>
    </font>
    <font>
      <sz val="15"/>
      <color theme="4" tint="0.79998168889431442"/>
      <name val="Calibri"/>
      <family val="2"/>
    </font>
    <font>
      <b/>
      <sz val="14"/>
      <color rgb="FF00B050"/>
      <name val="Calibri"/>
      <family val="2"/>
    </font>
    <font>
      <b/>
      <sz val="20"/>
      <color rgb="FFFF0000"/>
      <name val="Calibri"/>
      <family val="2"/>
    </font>
    <font>
      <b/>
      <sz val="100"/>
      <name val="Bodoni MT"/>
      <family val="1"/>
    </font>
    <font>
      <b/>
      <sz val="75"/>
      <name val="Bodoni MT"/>
      <family val="1"/>
    </font>
    <font>
      <b/>
      <sz val="75"/>
      <color theme="1"/>
      <name val="Bodoni MT"/>
      <family val="1"/>
    </font>
    <font>
      <b/>
      <sz val="16"/>
      <color rgb="FF00B050"/>
      <name val="Calibri"/>
      <family val="2"/>
    </font>
  </fonts>
  <fills count="71">
    <fill>
      <patternFill patternType="none"/>
    </fill>
    <fill>
      <patternFill patternType="gray125"/>
    </fill>
    <fill>
      <patternFill patternType="solid">
        <fgColor rgb="FFEFEFEF"/>
        <bgColor rgb="FFEFEFEF"/>
      </patternFill>
    </fill>
    <fill>
      <patternFill patternType="solid">
        <fgColor rgb="FFBDD6EE"/>
        <bgColor rgb="FFBDD6EE"/>
      </patternFill>
    </fill>
    <fill>
      <patternFill patternType="solid">
        <fgColor rgb="FFFFFF00"/>
        <bgColor rgb="FFFFFF00"/>
      </patternFill>
    </fill>
    <fill>
      <patternFill patternType="solid">
        <fgColor rgb="FF2F5496"/>
        <bgColor rgb="FF2F5496"/>
      </patternFill>
    </fill>
    <fill>
      <patternFill patternType="solid">
        <fgColor rgb="FF00B050"/>
        <bgColor rgb="FF00B050"/>
      </patternFill>
    </fill>
    <fill>
      <patternFill patternType="solid">
        <fgColor rgb="FF9CC2E5"/>
        <bgColor rgb="FF9CC2E5"/>
      </patternFill>
    </fill>
    <fill>
      <patternFill patternType="solid">
        <fgColor rgb="FFC55A11"/>
        <bgColor rgb="FFC55A11"/>
      </patternFill>
    </fill>
    <fill>
      <patternFill patternType="solid">
        <fgColor rgb="FFF4B083"/>
        <bgColor rgb="FFF4B083"/>
      </patternFill>
    </fill>
    <fill>
      <patternFill patternType="solid">
        <fgColor rgb="FFCFE2F3"/>
        <bgColor rgb="FFCFE2F3"/>
      </patternFill>
    </fill>
    <fill>
      <patternFill patternType="solid">
        <fgColor rgb="FF2E75B5"/>
        <bgColor rgb="FF2E75B5"/>
      </patternFill>
    </fill>
    <fill>
      <patternFill patternType="solid">
        <fgColor rgb="FF6AA84F"/>
        <bgColor rgb="FF6AA84F"/>
      </patternFill>
    </fill>
    <fill>
      <patternFill patternType="solid">
        <fgColor rgb="FF0070C0"/>
        <bgColor rgb="FF0070C0"/>
      </patternFill>
    </fill>
    <fill>
      <patternFill patternType="solid">
        <fgColor rgb="FFFFFFFF"/>
        <bgColor rgb="FFFFFFFF"/>
      </patternFill>
    </fill>
    <fill>
      <patternFill patternType="solid">
        <fgColor rgb="FFC9DAF8"/>
        <bgColor rgb="FFC9DAF8"/>
      </patternFill>
    </fill>
    <fill>
      <patternFill patternType="solid">
        <fgColor rgb="FFDADADA"/>
        <bgColor rgb="FFDADADA"/>
      </patternFill>
    </fill>
    <fill>
      <patternFill patternType="solid">
        <fgColor rgb="FFD0CECE"/>
        <bgColor rgb="FFD0CECE"/>
      </patternFill>
    </fill>
    <fill>
      <patternFill patternType="solid">
        <fgColor rgb="FFFFFF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00B050"/>
        <bgColor indexed="64"/>
      </patternFill>
    </fill>
    <fill>
      <patternFill patternType="solid">
        <fgColor rgb="FFA9D08E"/>
        <bgColor indexed="64"/>
      </patternFill>
    </fill>
    <fill>
      <patternFill patternType="solid">
        <fgColor rgb="FFF8CBAD"/>
        <bgColor indexed="64"/>
      </patternFill>
    </fill>
    <fill>
      <patternFill patternType="solid">
        <fgColor rgb="FF92D050"/>
        <bgColor indexed="64"/>
      </patternFill>
    </fill>
    <fill>
      <patternFill patternType="solid">
        <fgColor rgb="FFF6C5AC"/>
        <bgColor indexed="64"/>
      </patternFill>
    </fill>
    <fill>
      <patternFill patternType="solid">
        <fgColor rgb="FFFFFF00"/>
        <bgColor rgb="FFFFFFFF"/>
      </patternFill>
    </fill>
    <fill>
      <patternFill patternType="solid">
        <fgColor rgb="FF00B050"/>
        <bgColor rgb="FFF4B083"/>
      </patternFill>
    </fill>
    <fill>
      <patternFill patternType="solid">
        <fgColor rgb="FFFFFF00"/>
        <bgColor rgb="FFF4B083"/>
      </patternFill>
    </fill>
    <fill>
      <patternFill patternType="solid">
        <fgColor theme="0"/>
        <bgColor rgb="FFF4B083"/>
      </patternFill>
    </fill>
    <fill>
      <patternFill patternType="solid">
        <fgColor theme="5" tint="0.39997558519241921"/>
        <bgColor rgb="FF00B050"/>
      </patternFill>
    </fill>
    <fill>
      <patternFill patternType="solid">
        <fgColor theme="5" tint="0.39997558519241921"/>
        <bgColor rgb="FFF4B083"/>
      </patternFill>
    </fill>
    <fill>
      <patternFill patternType="solid">
        <fgColor theme="4" tint="-0.249977111117893"/>
        <bgColor rgb="FF00B050"/>
      </patternFill>
    </fill>
    <fill>
      <patternFill patternType="solid">
        <fgColor theme="4" tint="-0.249977111117893"/>
        <bgColor rgb="FFF4B083"/>
      </patternFill>
    </fill>
    <fill>
      <patternFill patternType="solid">
        <fgColor theme="4" tint="-0.249977111117893"/>
        <bgColor rgb="FF2E75B5"/>
      </patternFill>
    </fill>
    <fill>
      <patternFill patternType="solid">
        <fgColor theme="0"/>
        <bgColor rgb="FF00B050"/>
      </patternFill>
    </fill>
    <fill>
      <patternFill patternType="solid">
        <fgColor theme="0"/>
        <bgColor rgb="FF2E75B5"/>
      </patternFill>
    </fill>
    <fill>
      <patternFill patternType="solid">
        <fgColor theme="5" tint="0.39997558519241921"/>
        <bgColor rgb="FF2E75B5"/>
      </patternFill>
    </fill>
    <fill>
      <patternFill patternType="solid">
        <fgColor theme="4" tint="-0.249977111117893"/>
        <bgColor indexed="64"/>
      </patternFill>
    </fill>
    <fill>
      <patternFill patternType="solid">
        <fgColor theme="0"/>
        <bgColor rgb="FFFFFFFF"/>
      </patternFill>
    </fill>
    <fill>
      <patternFill patternType="solid">
        <fgColor theme="2" tint="-4.9989318521683403E-2"/>
        <bgColor indexed="64"/>
      </patternFill>
    </fill>
    <fill>
      <patternFill patternType="solid">
        <fgColor theme="5" tint="-0.249977111117893"/>
        <bgColor indexed="64"/>
      </patternFill>
    </fill>
    <fill>
      <patternFill patternType="solid">
        <fgColor theme="5" tint="-0.249977111117893"/>
        <bgColor rgb="FFD0CECE"/>
      </patternFill>
    </fill>
    <fill>
      <patternFill patternType="solid">
        <fgColor rgb="FF0070C0"/>
        <bgColor indexed="64"/>
      </patternFill>
    </fill>
    <fill>
      <patternFill patternType="solid">
        <fgColor rgb="FFFF7C80"/>
        <bgColor indexed="64"/>
      </patternFill>
    </fill>
    <fill>
      <patternFill patternType="solid">
        <fgColor theme="2" tint="-0.14999847407452621"/>
        <bgColor indexed="64"/>
      </patternFill>
    </fill>
    <fill>
      <patternFill patternType="solid">
        <fgColor rgb="FFCC0066"/>
        <bgColor indexed="64"/>
      </patternFill>
    </fill>
    <fill>
      <patternFill patternType="solid">
        <fgColor rgb="FFFFFF00"/>
        <bgColor rgb="FF2F5496"/>
      </patternFill>
    </fill>
    <fill>
      <patternFill patternType="solid">
        <fgColor theme="2"/>
        <bgColor rgb="FFFFFFFF"/>
      </patternFill>
    </fill>
    <fill>
      <patternFill patternType="solid">
        <fgColor theme="2"/>
        <bgColor indexed="64"/>
      </patternFill>
    </fill>
    <fill>
      <patternFill patternType="solid">
        <fgColor theme="4" tint="0.39997558519241921"/>
        <bgColor rgb="FF2F5496"/>
      </patternFill>
    </fill>
    <fill>
      <patternFill patternType="solid">
        <fgColor theme="4" tint="0.59999389629810485"/>
        <bgColor indexed="64"/>
      </patternFill>
    </fill>
    <fill>
      <patternFill patternType="solid">
        <fgColor theme="4" tint="0.59999389629810485"/>
        <bgColor rgb="FF2F5496"/>
      </patternFill>
    </fill>
    <fill>
      <patternFill patternType="solid">
        <fgColor rgb="FFCC0066"/>
        <bgColor rgb="FFF4B083"/>
      </patternFill>
    </fill>
    <fill>
      <patternFill patternType="solid">
        <fgColor rgb="FFFF7C80"/>
        <bgColor rgb="FFD0CECE"/>
      </patternFill>
    </fill>
    <fill>
      <patternFill patternType="solid">
        <fgColor theme="0" tint="-0.14999847407452621"/>
        <bgColor indexed="64"/>
      </patternFill>
    </fill>
    <fill>
      <patternFill patternType="solid">
        <fgColor theme="2" tint="-0.34998626667073579"/>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CC0066"/>
        <bgColor rgb="FF00B050"/>
      </patternFill>
    </fill>
    <fill>
      <patternFill patternType="solid">
        <fgColor theme="0" tint="-4.9989318521683403E-2"/>
        <bgColor rgb="FFFFFFFF"/>
      </patternFill>
    </fill>
    <fill>
      <patternFill patternType="solid">
        <fgColor theme="0" tint="-0.34998626667073579"/>
        <bgColor indexed="64"/>
      </patternFill>
    </fill>
    <fill>
      <patternFill patternType="solid">
        <fgColor rgb="FFFF9999"/>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8" tint="0.79998168889431442"/>
        <bgColor indexed="64"/>
      </patternFill>
    </fill>
    <fill>
      <patternFill patternType="solid">
        <fgColor theme="6" tint="0.59999389629810485"/>
        <bgColor indexed="64"/>
      </patternFill>
    </fill>
  </fills>
  <borders count="181">
    <border>
      <left/>
      <right/>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diagonal/>
    </border>
    <border>
      <left style="medium">
        <color rgb="FFCCCCCC"/>
      </left>
      <right style="medium">
        <color rgb="FF000000"/>
      </right>
      <top style="medium">
        <color rgb="FFCCCCCC"/>
      </top>
      <bottom style="medium">
        <color rgb="FFCCCCCC"/>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BF4F14"/>
      </right>
      <top style="medium">
        <color rgb="FFCCCCCC"/>
      </top>
      <bottom style="medium">
        <color rgb="FFCCCCCC"/>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rgb="FFCCCCCC"/>
      </left>
      <right/>
      <top style="medium">
        <color rgb="FFCCCCCC"/>
      </top>
      <bottom/>
      <diagonal/>
    </border>
    <border>
      <left/>
      <right/>
      <top/>
      <bottom style="medium">
        <color rgb="FF000000"/>
      </bottom>
      <diagonal/>
    </border>
    <border>
      <left style="medium">
        <color rgb="FFCCCCCC"/>
      </left>
      <right/>
      <top/>
      <bottom style="medium">
        <color rgb="FF000000"/>
      </bottom>
      <diagonal/>
    </border>
    <border>
      <left style="medium">
        <color rgb="FFCCCCCC"/>
      </left>
      <right style="medium">
        <color rgb="FFCCCCCC"/>
      </right>
      <top/>
      <bottom style="medium">
        <color rgb="FFCCCCCC"/>
      </bottom>
      <diagonal/>
    </border>
    <border>
      <left/>
      <right style="medium">
        <color rgb="FF000000"/>
      </right>
      <top style="medium">
        <color rgb="FF000000"/>
      </top>
      <bottom/>
      <diagonal/>
    </border>
    <border>
      <left style="medium">
        <color rgb="FFCCCCCC"/>
      </left>
      <right/>
      <top style="medium">
        <color rgb="FFCCCCCC"/>
      </top>
      <bottom style="medium">
        <color rgb="FFCCCCCC"/>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rgb="FF000000"/>
      </right>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medium">
        <color rgb="FFCCCCCC"/>
      </right>
      <top style="medium">
        <color rgb="FFCCCCCC"/>
      </top>
      <bottom/>
      <diagonal/>
    </border>
    <border>
      <left/>
      <right/>
      <top style="medium">
        <color rgb="FF000000"/>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CCCCCC"/>
      </left>
      <right style="medium">
        <color indexed="64"/>
      </right>
      <top style="medium">
        <color rgb="FFCCCCCC"/>
      </top>
      <bottom style="medium">
        <color rgb="FF000000"/>
      </bottom>
      <diagonal/>
    </border>
    <border>
      <left style="medium">
        <color indexed="64"/>
      </left>
      <right style="medium">
        <color rgb="FF000000"/>
      </right>
      <top style="medium">
        <color rgb="FFCCCCCC"/>
      </top>
      <bottom style="medium">
        <color rgb="FF000000"/>
      </bottom>
      <diagonal/>
    </border>
    <border>
      <left style="medium">
        <color rgb="FFCCCCCC"/>
      </left>
      <right style="medium">
        <color indexed="64"/>
      </right>
      <top style="medium">
        <color rgb="FFCCCCCC"/>
      </top>
      <bottom/>
      <diagonal/>
    </border>
    <border>
      <left style="thin">
        <color rgb="FF000000"/>
      </left>
      <right style="medium">
        <color indexed="64"/>
      </right>
      <top style="thin">
        <color rgb="FF000000"/>
      </top>
      <bottom style="thin">
        <color rgb="FF000000"/>
      </bottom>
      <diagonal/>
    </border>
    <border>
      <left style="medium">
        <color rgb="FFCCCCCC"/>
      </left>
      <right style="medium">
        <color indexed="64"/>
      </right>
      <top/>
      <bottom style="medium">
        <color rgb="FF000000"/>
      </bottom>
      <diagonal/>
    </border>
    <border>
      <left style="medium">
        <color indexed="64"/>
      </left>
      <right style="medium">
        <color rgb="FF000000"/>
      </right>
      <top style="medium">
        <color rgb="FFCCCCCC"/>
      </top>
      <bottom style="medium">
        <color indexed="64"/>
      </bottom>
      <diagonal/>
    </border>
    <border>
      <left style="medium">
        <color rgb="FFCCCCCC"/>
      </left>
      <right style="medium">
        <color rgb="FF000000"/>
      </right>
      <top style="medium">
        <color rgb="FFCCCCCC"/>
      </top>
      <bottom style="medium">
        <color indexed="64"/>
      </bottom>
      <diagonal/>
    </border>
    <border>
      <left style="medium">
        <color rgb="FFCCCCCC"/>
      </left>
      <right style="medium">
        <color indexed="64"/>
      </right>
      <top style="medium">
        <color rgb="FFCCCCCC"/>
      </top>
      <bottom style="medium">
        <color indexed="64"/>
      </bottom>
      <diagonal/>
    </border>
    <border>
      <left style="medium">
        <color indexed="64"/>
      </left>
      <right style="medium">
        <color rgb="FF000000"/>
      </right>
      <top style="medium">
        <color rgb="FFCCCCCC"/>
      </top>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medium">
        <color indexed="64"/>
      </left>
      <right style="medium">
        <color rgb="FF000000"/>
      </right>
      <top/>
      <bottom/>
      <diagonal/>
    </border>
    <border>
      <left style="medium">
        <color rgb="FFCCCCCC"/>
      </left>
      <right/>
      <top/>
      <bottom/>
      <diagonal/>
    </border>
    <border>
      <left style="medium">
        <color indexed="64"/>
      </left>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CCCCCC"/>
      </left>
      <right/>
      <top style="medium">
        <color indexed="64"/>
      </top>
      <bottom style="medium">
        <color indexed="64"/>
      </bottom>
      <diagonal/>
    </border>
    <border>
      <left/>
      <right/>
      <top style="medium">
        <color indexed="64"/>
      </top>
      <bottom style="medium">
        <color indexed="64"/>
      </bottom>
      <diagonal/>
    </border>
    <border>
      <left style="medium">
        <color rgb="FFCCCCCC"/>
      </left>
      <right/>
      <top style="medium">
        <color rgb="FFCCCCCC"/>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CCCCCC"/>
      </top>
      <bottom style="medium">
        <color rgb="FF000000"/>
      </bottom>
      <diagonal/>
    </border>
    <border>
      <left style="medium">
        <color indexed="64"/>
      </left>
      <right style="medium">
        <color indexed="64"/>
      </right>
      <top style="medium">
        <color rgb="FFCCCCCC"/>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CCCCCC"/>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rgb="FF000000"/>
      </right>
      <top style="medium">
        <color indexed="64"/>
      </top>
      <bottom style="medium">
        <color rgb="FF000000"/>
      </bottom>
      <diagonal/>
    </border>
    <border>
      <left style="medium">
        <color rgb="FFCCCCCC"/>
      </left>
      <right/>
      <top style="medium">
        <color indexed="64"/>
      </top>
      <bottom style="medium">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rgb="FF000000"/>
      </right>
      <top style="thin">
        <color rgb="FF000000"/>
      </top>
      <bottom/>
      <diagonal/>
    </border>
    <border>
      <left/>
      <right style="medium">
        <color rgb="FF000000"/>
      </right>
      <top style="medium">
        <color indexed="64"/>
      </top>
      <bottom style="medium">
        <color rgb="FF000000"/>
      </bottom>
      <diagonal/>
    </border>
    <border>
      <left/>
      <right style="medium">
        <color indexed="64"/>
      </right>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FF0000"/>
      </left>
      <right style="thin">
        <color indexed="64"/>
      </right>
      <top style="thin">
        <color rgb="FFFF0000"/>
      </top>
      <bottom style="thin">
        <color indexed="64"/>
      </bottom>
      <diagonal/>
    </border>
    <border>
      <left style="thin">
        <color indexed="64"/>
      </left>
      <right style="thin">
        <color indexed="64"/>
      </right>
      <top style="thin">
        <color rgb="FFFF0000"/>
      </top>
      <bottom/>
      <diagonal/>
    </border>
    <border>
      <left style="thin">
        <color indexed="64"/>
      </left>
      <right style="thin">
        <color indexed="64"/>
      </right>
      <top style="thin">
        <color rgb="FFFF0000"/>
      </top>
      <bottom style="thin">
        <color indexed="64"/>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indexed="64"/>
      </right>
      <top style="thin">
        <color indexed="64"/>
      </top>
      <bottom style="thin">
        <color rgb="FFFF0000"/>
      </bottom>
      <diagonal/>
    </border>
    <border>
      <left style="thin">
        <color indexed="64"/>
      </left>
      <right style="thin">
        <color indexed="64"/>
      </right>
      <top/>
      <bottom style="thin">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rgb="FFFF0000"/>
      </right>
      <top style="thin">
        <color indexed="64"/>
      </top>
      <bottom style="thin">
        <color rgb="FFFF0000"/>
      </bottom>
      <diagonal/>
    </border>
    <border>
      <left style="thin">
        <color indexed="64"/>
      </left>
      <right/>
      <top style="thin">
        <color rgb="FFFF0000"/>
      </top>
      <bottom/>
      <diagonal/>
    </border>
    <border>
      <left style="thin">
        <color indexed="64"/>
      </left>
      <right/>
      <top/>
      <bottom style="thin">
        <color rgb="FFFF0000"/>
      </bottom>
      <diagonal/>
    </border>
    <border>
      <left/>
      <right style="thin">
        <color indexed="64"/>
      </right>
      <top style="thin">
        <color indexed="64"/>
      </top>
      <bottom style="thin">
        <color rgb="FFFF0000"/>
      </bottom>
      <diagonal/>
    </border>
    <border>
      <left style="thin">
        <color rgb="FFFF0000"/>
      </left>
      <right style="thin">
        <color indexed="64"/>
      </right>
      <top/>
      <bottom style="thin">
        <color indexed="64"/>
      </bottom>
      <diagonal/>
    </border>
    <border>
      <left style="thin">
        <color indexed="64"/>
      </left>
      <right style="thin">
        <color rgb="FFFF0000"/>
      </right>
      <top/>
      <bottom style="thin">
        <color indexed="64"/>
      </bottom>
      <diagonal/>
    </border>
    <border>
      <left style="thick">
        <color rgb="FF7030A0"/>
      </left>
      <right style="thick">
        <color rgb="FF7030A0"/>
      </right>
      <top style="thick">
        <color rgb="FF7030A0"/>
      </top>
      <bottom style="thick">
        <color rgb="FF7030A0"/>
      </bottom>
      <diagonal/>
    </border>
    <border>
      <left style="thick">
        <color rgb="FF7030A0"/>
      </left>
      <right style="thin">
        <color indexed="64"/>
      </right>
      <top style="thick">
        <color rgb="FF7030A0"/>
      </top>
      <bottom style="thick">
        <color rgb="FF7030A0"/>
      </bottom>
      <diagonal/>
    </border>
    <border>
      <left style="thin">
        <color indexed="64"/>
      </left>
      <right/>
      <top style="thick">
        <color rgb="FF7030A0"/>
      </top>
      <bottom style="thick">
        <color rgb="FF7030A0"/>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CCCCCC"/>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medium">
        <color rgb="FFCCCCCC"/>
      </left>
      <right/>
      <top/>
      <bottom style="medium">
        <color rgb="FFCCCCCC"/>
      </bottom>
      <diagonal/>
    </border>
    <border>
      <left style="medium">
        <color indexed="64"/>
      </left>
      <right style="medium">
        <color rgb="FF000000"/>
      </right>
      <top style="medium">
        <color indexed="64"/>
      </top>
      <bottom/>
      <diagonal/>
    </border>
    <border>
      <left style="medium">
        <color rgb="FFCCCCCC"/>
      </left>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indexed="64"/>
      </top>
      <bottom/>
      <diagonal/>
    </border>
    <border>
      <left/>
      <right/>
      <top/>
      <bottom style="medium">
        <color indexed="64"/>
      </bottom>
      <diagonal/>
    </border>
    <border>
      <left style="medium">
        <color indexed="64"/>
      </left>
      <right style="medium">
        <color indexed="64"/>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rgb="FF000000"/>
      </top>
      <bottom/>
      <diagonal/>
    </border>
    <border>
      <left/>
      <right/>
      <top/>
      <bottom style="thin">
        <color rgb="FF000000"/>
      </bottom>
      <diagonal/>
    </border>
    <border>
      <left/>
      <right style="medium">
        <color rgb="FF000000"/>
      </right>
      <top/>
      <bottom/>
      <diagonal/>
    </border>
    <border>
      <left style="thin">
        <color rgb="FF663997"/>
      </left>
      <right style="thin">
        <color rgb="FF663997"/>
      </right>
      <top style="thin">
        <color rgb="FF663997"/>
      </top>
      <bottom style="thin">
        <color rgb="FF663997"/>
      </bottom>
      <diagonal/>
    </border>
    <border>
      <left style="medium">
        <color rgb="FF663997"/>
      </left>
      <right style="thin">
        <color rgb="FF000000"/>
      </right>
      <top style="medium">
        <color rgb="FF663997"/>
      </top>
      <bottom style="thin">
        <color rgb="FF000000"/>
      </bottom>
      <diagonal/>
    </border>
    <border>
      <left style="thin">
        <color rgb="FF000000"/>
      </left>
      <right style="thin">
        <color rgb="FF000000"/>
      </right>
      <top style="medium">
        <color rgb="FF663997"/>
      </top>
      <bottom style="thin">
        <color rgb="FF000000"/>
      </bottom>
      <diagonal/>
    </border>
    <border>
      <left style="thin">
        <color rgb="FF000000"/>
      </left>
      <right/>
      <top style="medium">
        <color rgb="FF663997"/>
      </top>
      <bottom style="thin">
        <color rgb="FF000000"/>
      </bottom>
      <diagonal/>
    </border>
    <border>
      <left style="thin">
        <color indexed="64"/>
      </left>
      <right style="thin">
        <color indexed="64"/>
      </right>
      <top style="medium">
        <color rgb="FF663997"/>
      </top>
      <bottom style="thin">
        <color indexed="64"/>
      </bottom>
      <diagonal/>
    </border>
    <border>
      <left/>
      <right style="thin">
        <color rgb="FF000000"/>
      </right>
      <top style="medium">
        <color rgb="FF663997"/>
      </top>
      <bottom style="thin">
        <color rgb="FF000000"/>
      </bottom>
      <diagonal/>
    </border>
    <border>
      <left style="thin">
        <color rgb="FF000000"/>
      </left>
      <right style="medium">
        <color rgb="FF663997"/>
      </right>
      <top style="medium">
        <color rgb="FF663997"/>
      </top>
      <bottom style="thin">
        <color rgb="FF000000"/>
      </bottom>
      <diagonal/>
    </border>
    <border>
      <left style="medium">
        <color rgb="FF663997"/>
      </left>
      <right style="thin">
        <color rgb="FF000000"/>
      </right>
      <top style="thin">
        <color rgb="FF000000"/>
      </top>
      <bottom/>
      <diagonal/>
    </border>
    <border>
      <left style="thin">
        <color rgb="FF000000"/>
      </left>
      <right style="medium">
        <color rgb="FF663997"/>
      </right>
      <top style="thin">
        <color rgb="FF000000"/>
      </top>
      <bottom style="thin">
        <color rgb="FF000000"/>
      </bottom>
      <diagonal/>
    </border>
    <border>
      <left style="medium">
        <color rgb="FF663997"/>
      </left>
      <right style="thin">
        <color rgb="FF000000"/>
      </right>
      <top style="thin">
        <color rgb="FF000000"/>
      </top>
      <bottom style="thin">
        <color rgb="FF000000"/>
      </bottom>
      <diagonal/>
    </border>
    <border>
      <left style="medium">
        <color rgb="FF663997"/>
      </left>
      <right style="thin">
        <color rgb="FF000000"/>
      </right>
      <top style="thin">
        <color rgb="FF000000"/>
      </top>
      <bottom style="medium">
        <color rgb="FF663997"/>
      </bottom>
      <diagonal/>
    </border>
    <border>
      <left style="thin">
        <color rgb="FF000000"/>
      </left>
      <right style="thin">
        <color rgb="FF000000"/>
      </right>
      <top style="thin">
        <color rgb="FF000000"/>
      </top>
      <bottom style="medium">
        <color rgb="FF663997"/>
      </bottom>
      <diagonal/>
    </border>
    <border>
      <left style="thin">
        <color rgb="FF000000"/>
      </left>
      <right/>
      <top style="thin">
        <color rgb="FF000000"/>
      </top>
      <bottom style="medium">
        <color rgb="FF663997"/>
      </bottom>
      <diagonal/>
    </border>
    <border>
      <left style="thin">
        <color indexed="64"/>
      </left>
      <right style="thin">
        <color indexed="64"/>
      </right>
      <top style="thin">
        <color indexed="64"/>
      </top>
      <bottom style="medium">
        <color rgb="FF663997"/>
      </bottom>
      <diagonal/>
    </border>
    <border>
      <left/>
      <right style="thin">
        <color rgb="FF000000"/>
      </right>
      <top style="thin">
        <color rgb="FF000000"/>
      </top>
      <bottom style="medium">
        <color rgb="FF663997"/>
      </bottom>
      <diagonal/>
    </border>
    <border>
      <left style="thin">
        <color rgb="FF000000"/>
      </left>
      <right style="medium">
        <color rgb="FF663997"/>
      </right>
      <top style="thin">
        <color rgb="FF000000"/>
      </top>
      <bottom style="medium">
        <color rgb="FF663997"/>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rgb="FFCCCCCC"/>
      </top>
      <bottom style="medium">
        <color rgb="FFCCCCCC"/>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rgb="FF000000"/>
      </bottom>
      <diagonal/>
    </border>
    <border>
      <left/>
      <right/>
      <top style="medium">
        <color rgb="FF000000"/>
      </top>
      <bottom style="medium">
        <color indexed="64"/>
      </bottom>
      <diagonal/>
    </border>
    <border>
      <left/>
      <right style="medium">
        <color rgb="FFCCCCCC"/>
      </right>
      <top/>
      <bottom style="medium">
        <color rgb="FFCCCCCC"/>
      </bottom>
      <diagonal/>
    </border>
    <border>
      <left style="thin">
        <color indexed="64"/>
      </left>
      <right style="thin">
        <color indexed="64"/>
      </right>
      <top style="thin">
        <color indexed="64"/>
      </top>
      <bottom style="medium">
        <color indexed="64"/>
      </bottom>
      <diagonal/>
    </border>
  </borders>
  <cellStyleXfs count="5">
    <xf numFmtId="0" fontId="0" fillId="0" borderId="0"/>
    <xf numFmtId="9" fontId="17" fillId="0" borderId="0" applyFont="0" applyFill="0" applyBorder="0" applyAlignment="0" applyProtection="0"/>
    <xf numFmtId="0" fontId="8" fillId="0" borderId="0"/>
    <xf numFmtId="43" fontId="17" fillId="0" borderId="0" applyFont="0" applyFill="0" applyBorder="0" applyAlignment="0" applyProtection="0"/>
    <xf numFmtId="44" fontId="112" fillId="0" borderId="0" applyFont="0" applyFill="0" applyBorder="0" applyAlignment="0" applyProtection="0"/>
  </cellStyleXfs>
  <cellXfs count="1459">
    <xf numFmtId="0" fontId="0" fillId="0" borderId="0" xfId="0"/>
    <xf numFmtId="0" fontId="9" fillId="0" borderId="23" xfId="0" applyFont="1" applyBorder="1"/>
    <xf numFmtId="0" fontId="11" fillId="0" borderId="14" xfId="0" applyFont="1" applyBorder="1" applyAlignment="1">
      <alignment horizontal="center"/>
    </xf>
    <xf numFmtId="0" fontId="12" fillId="0" borderId="14" xfId="0" applyFont="1" applyBorder="1" applyAlignment="1">
      <alignment horizontal="center"/>
    </xf>
    <xf numFmtId="9" fontId="13" fillId="0" borderId="14" xfId="0" applyNumberFormat="1" applyFont="1" applyBorder="1" applyAlignment="1">
      <alignment horizontal="center"/>
    </xf>
    <xf numFmtId="164" fontId="14" fillId="0" borderId="0" xfId="0" applyNumberFormat="1" applyFont="1"/>
    <xf numFmtId="164" fontId="15" fillId="0" borderId="0" xfId="0" applyNumberFormat="1" applyFont="1"/>
    <xf numFmtId="10" fontId="16" fillId="0" borderId="0" xfId="0" applyNumberFormat="1" applyFont="1" applyAlignment="1">
      <alignment horizontal="center"/>
    </xf>
    <xf numFmtId="10" fontId="17" fillId="0" borderId="0" xfId="0" applyNumberFormat="1" applyFont="1"/>
    <xf numFmtId="0" fontId="18" fillId="18" borderId="24" xfId="0" applyFont="1" applyFill="1" applyBorder="1" applyAlignment="1">
      <alignment horizontal="center" vertical="center" wrapText="1"/>
    </xf>
    <xf numFmtId="0" fontId="0" fillId="0" borderId="24" xfId="0" applyBorder="1"/>
    <xf numFmtId="10" fontId="23" fillId="23" borderId="24" xfId="0" applyNumberFormat="1" applyFont="1" applyFill="1" applyBorder="1" applyAlignment="1">
      <alignment horizontal="center" vertical="center"/>
    </xf>
    <xf numFmtId="2" fontId="0" fillId="0" borderId="0" xfId="0" applyNumberFormat="1"/>
    <xf numFmtId="165" fontId="21" fillId="0" borderId="24" xfId="1" applyNumberFormat="1" applyFont="1" applyBorder="1" applyAlignment="1">
      <alignment horizontal="center" vertical="center"/>
    </xf>
    <xf numFmtId="10" fontId="0" fillId="0" borderId="0" xfId="0" applyNumberFormat="1"/>
    <xf numFmtId="164" fontId="0" fillId="0" borderId="0" xfId="1" applyNumberFormat="1" applyFont="1" applyAlignment="1"/>
    <xf numFmtId="164" fontId="0" fillId="0" borderId="0" xfId="0" applyNumberFormat="1"/>
    <xf numFmtId="0" fontId="0" fillId="19" borderId="0" xfId="0" applyFill="1"/>
    <xf numFmtId="0" fontId="22" fillId="0" borderId="0" xfId="0" applyFont="1"/>
    <xf numFmtId="10" fontId="18" fillId="0" borderId="0" xfId="1" applyNumberFormat="1" applyFont="1" applyAlignment="1"/>
    <xf numFmtId="165" fontId="21" fillId="0" borderId="34" xfId="1" applyNumberFormat="1" applyFont="1" applyBorder="1" applyAlignment="1">
      <alignment horizontal="center" vertical="center"/>
    </xf>
    <xf numFmtId="0" fontId="25" fillId="0" borderId="26" xfId="0" applyFont="1" applyBorder="1" applyAlignment="1">
      <alignment horizontal="center" vertical="center" wrapText="1"/>
    </xf>
    <xf numFmtId="0" fontId="26" fillId="25" borderId="26" xfId="0" applyFont="1" applyFill="1" applyBorder="1" applyAlignment="1">
      <alignment horizontal="center" vertical="center" wrapText="1"/>
    </xf>
    <xf numFmtId="0" fontId="26" fillId="26" borderId="26" xfId="0" applyFont="1" applyFill="1" applyBorder="1" applyAlignment="1">
      <alignment horizontal="center" vertical="center" wrapText="1"/>
    </xf>
    <xf numFmtId="0" fontId="26" fillId="18" borderId="26" xfId="0" applyFont="1" applyFill="1" applyBorder="1" applyAlignment="1">
      <alignment horizontal="center" vertical="center" wrapText="1"/>
    </xf>
    <xf numFmtId="0" fontId="26" fillId="27" borderId="26" xfId="0" applyFont="1" applyFill="1" applyBorder="1" applyAlignment="1">
      <alignment horizontal="center" vertical="center" wrapText="1"/>
    </xf>
    <xf numFmtId="0" fontId="26" fillId="24" borderId="26" xfId="0" applyFont="1" applyFill="1" applyBorder="1" applyAlignment="1">
      <alignment horizontal="center" vertical="center" wrapText="1"/>
    </xf>
    <xf numFmtId="0" fontId="28" fillId="18" borderId="26" xfId="0" applyFont="1" applyFill="1" applyBorder="1" applyAlignment="1">
      <alignment horizontal="justify" vertical="center" wrapText="1"/>
    </xf>
    <xf numFmtId="0" fontId="28" fillId="0" borderId="26" xfId="0" applyFont="1" applyBorder="1" applyAlignment="1">
      <alignment horizontal="justify" vertical="center" wrapText="1"/>
    </xf>
    <xf numFmtId="0" fontId="28" fillId="29" borderId="26" xfId="0" applyFont="1" applyFill="1" applyBorder="1" applyAlignment="1">
      <alignment horizontal="justify" vertical="center" wrapText="1"/>
    </xf>
    <xf numFmtId="0" fontId="28" fillId="24" borderId="26" xfId="0" applyFont="1" applyFill="1" applyBorder="1" applyAlignment="1">
      <alignment horizontal="justify" vertical="center" wrapText="1"/>
    </xf>
    <xf numFmtId="0" fontId="28" fillId="0" borderId="18" xfId="0" applyFont="1" applyBorder="1" applyAlignment="1">
      <alignment horizontal="justify" vertical="center" wrapText="1"/>
    </xf>
    <xf numFmtId="0" fontId="29" fillId="0" borderId="0" xfId="0" applyFont="1"/>
    <xf numFmtId="165" fontId="10" fillId="34" borderId="24" xfId="0" applyNumberFormat="1" applyFont="1" applyFill="1" applyBorder="1" applyAlignment="1">
      <alignment horizontal="center" vertical="center" wrapText="1"/>
    </xf>
    <xf numFmtId="165" fontId="31" fillId="11" borderId="24" xfId="0" applyNumberFormat="1" applyFont="1" applyFill="1" applyBorder="1" applyAlignment="1">
      <alignment horizontal="center" vertical="center" wrapText="1"/>
    </xf>
    <xf numFmtId="0" fontId="14" fillId="0" borderId="25" xfId="0" applyFont="1" applyBorder="1" applyAlignment="1">
      <alignment horizontal="center" vertical="center"/>
    </xf>
    <xf numFmtId="164" fontId="33" fillId="0" borderId="25" xfId="1" applyNumberFormat="1" applyFont="1" applyBorder="1" applyAlignment="1">
      <alignment vertical="center"/>
    </xf>
    <xf numFmtId="0" fontId="0" fillId="0" borderId="34" xfId="0" applyBorder="1"/>
    <xf numFmtId="10" fontId="34" fillId="19" borderId="51" xfId="0" applyNumberFormat="1" applyFont="1" applyFill="1" applyBorder="1" applyAlignment="1">
      <alignment horizontal="center" vertical="center"/>
    </xf>
    <xf numFmtId="0" fontId="24" fillId="20" borderId="94" xfId="0" applyFont="1" applyFill="1" applyBorder="1" applyAlignment="1">
      <alignment wrapText="1"/>
    </xf>
    <xf numFmtId="10" fontId="34" fillId="19" borderId="96" xfId="0" applyNumberFormat="1" applyFont="1" applyFill="1" applyBorder="1" applyAlignment="1">
      <alignment horizontal="center" vertical="center"/>
    </xf>
    <xf numFmtId="10" fontId="34" fillId="19" borderId="97" xfId="0" applyNumberFormat="1" applyFont="1" applyFill="1" applyBorder="1" applyAlignment="1">
      <alignment horizontal="center" vertical="center"/>
    </xf>
    <xf numFmtId="0" fontId="20" fillId="21" borderId="98" xfId="0" applyFont="1" applyFill="1" applyBorder="1" applyAlignment="1">
      <alignment wrapText="1"/>
    </xf>
    <xf numFmtId="165" fontId="31" fillId="11" borderId="99" xfId="0" applyNumberFormat="1" applyFont="1" applyFill="1" applyBorder="1" applyAlignment="1">
      <alignment horizontal="center" vertical="center" wrapText="1"/>
    </xf>
    <xf numFmtId="0" fontId="18" fillId="22" borderId="98" xfId="0" applyFont="1" applyFill="1" applyBorder="1" applyAlignment="1">
      <alignment wrapText="1"/>
    </xf>
    <xf numFmtId="165" fontId="21" fillId="0" borderId="99" xfId="1" applyNumberFormat="1" applyFont="1" applyBorder="1" applyAlignment="1">
      <alignment horizontal="center" vertical="center"/>
    </xf>
    <xf numFmtId="10" fontId="21" fillId="0" borderId="99" xfId="1" applyNumberFormat="1" applyFont="1" applyBorder="1" applyAlignment="1">
      <alignment horizontal="center" vertical="center"/>
    </xf>
    <xf numFmtId="0" fontId="18" fillId="22" borderId="100" xfId="0" applyFont="1" applyFill="1" applyBorder="1" applyAlignment="1">
      <alignment wrapText="1"/>
    </xf>
    <xf numFmtId="165" fontId="21" fillId="0" borderId="102" xfId="1" applyNumberFormat="1" applyFont="1" applyBorder="1" applyAlignment="1">
      <alignment horizontal="center" vertical="center"/>
    </xf>
    <xf numFmtId="165" fontId="21" fillId="0" borderId="103" xfId="1" applyNumberFormat="1" applyFont="1" applyBorder="1" applyAlignment="1">
      <alignment horizontal="center" vertical="center"/>
    </xf>
    <xf numFmtId="0" fontId="24" fillId="20" borderId="94" xfId="0" applyFont="1" applyFill="1" applyBorder="1" applyAlignment="1">
      <alignment vertical="center" wrapText="1"/>
    </xf>
    <xf numFmtId="165" fontId="21" fillId="0" borderId="106" xfId="1" applyNumberFormat="1" applyFont="1" applyBorder="1" applyAlignment="1">
      <alignment horizontal="center" vertical="center"/>
    </xf>
    <xf numFmtId="0" fontId="18" fillId="18" borderId="34" xfId="0" applyFont="1" applyFill="1" applyBorder="1" applyAlignment="1">
      <alignment horizontal="center" vertical="center" wrapText="1"/>
    </xf>
    <xf numFmtId="0" fontId="24" fillId="20" borderId="107" xfId="0" applyFont="1" applyFill="1" applyBorder="1" applyAlignment="1">
      <alignment wrapText="1"/>
    </xf>
    <xf numFmtId="10" fontId="34" fillId="19" borderId="108" xfId="0" applyNumberFormat="1" applyFont="1" applyFill="1" applyBorder="1" applyAlignment="1">
      <alignment horizontal="center" vertical="center"/>
    </xf>
    <xf numFmtId="0" fontId="19" fillId="19" borderId="111" xfId="0" applyFont="1" applyFill="1" applyBorder="1" applyAlignment="1">
      <alignment wrapText="1"/>
    </xf>
    <xf numFmtId="0" fontId="21" fillId="0" borderId="31" xfId="0" applyFont="1" applyBorder="1"/>
    <xf numFmtId="0" fontId="30" fillId="4" borderId="12" xfId="0" applyFont="1" applyFill="1" applyBorder="1" applyAlignment="1">
      <alignment horizontal="center" vertical="center" wrapText="1"/>
    </xf>
    <xf numFmtId="0" fontId="37" fillId="5" borderId="12" xfId="0" applyFont="1" applyFill="1" applyBorder="1" applyAlignment="1">
      <alignment horizontal="center" vertical="center" wrapText="1"/>
    </xf>
    <xf numFmtId="0" fontId="38" fillId="4" borderId="12" xfId="0" applyFont="1" applyFill="1" applyBorder="1" applyAlignment="1">
      <alignment horizontal="center" vertical="center" wrapText="1"/>
    </xf>
    <xf numFmtId="0" fontId="35" fillId="18" borderId="24" xfId="0" applyFont="1" applyFill="1" applyBorder="1" applyAlignment="1">
      <alignment horizontal="center" vertical="center" wrapText="1"/>
    </xf>
    <xf numFmtId="0" fontId="21" fillId="0" borderId="0" xfId="0" applyFont="1"/>
    <xf numFmtId="0" fontId="39" fillId="0" borderId="110" xfId="0" applyFont="1" applyBorder="1" applyAlignment="1">
      <alignment wrapText="1"/>
    </xf>
    <xf numFmtId="0" fontId="9" fillId="0" borderId="88" xfId="0" applyFont="1" applyBorder="1"/>
    <xf numFmtId="9" fontId="12" fillId="0" borderId="29" xfId="0" applyNumberFormat="1" applyFont="1" applyBorder="1" applyAlignment="1">
      <alignment horizontal="center"/>
    </xf>
    <xf numFmtId="0" fontId="7" fillId="0" borderId="0" xfId="0" applyFont="1"/>
    <xf numFmtId="0" fontId="41" fillId="0" borderId="0" xfId="0" applyFont="1"/>
    <xf numFmtId="0" fontId="27" fillId="0" borderId="83" xfId="0" applyFont="1" applyBorder="1" applyAlignment="1">
      <alignment horizontal="center" vertical="center" wrapText="1"/>
    </xf>
    <xf numFmtId="0" fontId="27" fillId="0" borderId="89" xfId="0" applyFont="1" applyBorder="1" applyAlignment="1">
      <alignment horizontal="center" vertical="center" wrapText="1"/>
    </xf>
    <xf numFmtId="0" fontId="27" fillId="0" borderId="91" xfId="0" applyFont="1" applyBorder="1" applyAlignment="1">
      <alignment horizontal="center" vertical="center" wrapText="1"/>
    </xf>
    <xf numFmtId="0" fontId="28" fillId="0" borderId="80" xfId="0" applyFont="1" applyBorder="1" applyAlignment="1">
      <alignment horizontal="justify" vertical="center" wrapText="1"/>
    </xf>
    <xf numFmtId="0" fontId="28" fillId="0" borderId="90" xfId="0" applyFont="1" applyBorder="1" applyAlignment="1">
      <alignment horizontal="justify" vertical="center" wrapText="1"/>
    </xf>
    <xf numFmtId="0" fontId="28" fillId="0" borderId="124" xfId="0" applyFont="1" applyBorder="1" applyAlignment="1">
      <alignment horizontal="justify" vertical="center" wrapText="1"/>
    </xf>
    <xf numFmtId="0" fontId="28" fillId="24" borderId="125" xfId="0" applyFont="1" applyFill="1" applyBorder="1" applyAlignment="1">
      <alignment horizontal="justify" vertical="center" wrapText="1"/>
    </xf>
    <xf numFmtId="0" fontId="28" fillId="0" borderId="41" xfId="0" applyFont="1" applyBorder="1" applyAlignment="1">
      <alignment horizontal="justify" vertical="center" wrapText="1"/>
    </xf>
    <xf numFmtId="0" fontId="27" fillId="44" borderId="7" xfId="0" applyFont="1" applyFill="1" applyBorder="1" applyAlignment="1">
      <alignment horizontal="center" vertical="center" wrapText="1"/>
    </xf>
    <xf numFmtId="0" fontId="27" fillId="44" borderId="9" xfId="0" applyFont="1" applyFill="1" applyBorder="1" applyAlignment="1">
      <alignment horizontal="center" vertical="center" wrapText="1"/>
    </xf>
    <xf numFmtId="0" fontId="27" fillId="44" borderId="50" xfId="0" applyFont="1" applyFill="1" applyBorder="1" applyAlignment="1">
      <alignment horizontal="center" vertical="center" wrapText="1"/>
    </xf>
    <xf numFmtId="0" fontId="27" fillId="44" borderId="25" xfId="0" applyFont="1" applyFill="1" applyBorder="1" applyAlignment="1">
      <alignment horizontal="center" vertical="center" wrapText="1"/>
    </xf>
    <xf numFmtId="0" fontId="6" fillId="0" borderId="0" xfId="0" applyFont="1" applyAlignment="1">
      <alignment wrapText="1"/>
    </xf>
    <xf numFmtId="0" fontId="35" fillId="0" borderId="24" xfId="0" applyFont="1" applyBorder="1"/>
    <xf numFmtId="0" fontId="6" fillId="0" borderId="24" xfId="0" applyFont="1" applyBorder="1" applyAlignment="1">
      <alignment wrapText="1"/>
    </xf>
    <xf numFmtId="10" fontId="0" fillId="0" borderId="24" xfId="0" applyNumberFormat="1" applyBorder="1" applyAlignment="1">
      <alignment horizontal="center" vertical="center"/>
    </xf>
    <xf numFmtId="0" fontId="35" fillId="18" borderId="24" xfId="0" applyFont="1" applyFill="1" applyBorder="1"/>
    <xf numFmtId="0" fontId="0" fillId="0" borderId="24" xfId="0" applyBorder="1" applyAlignment="1">
      <alignment horizontal="center"/>
    </xf>
    <xf numFmtId="0" fontId="18" fillId="42" borderId="24" xfId="0" applyFont="1" applyFill="1" applyBorder="1" applyAlignment="1">
      <alignment horizontal="center" wrapText="1"/>
    </xf>
    <xf numFmtId="0" fontId="0" fillId="0" borderId="24" xfId="0" applyBorder="1" applyAlignment="1">
      <alignment wrapText="1"/>
    </xf>
    <xf numFmtId="0" fontId="42" fillId="0" borderId="24" xfId="0" applyFont="1" applyBorder="1" applyAlignment="1">
      <alignment wrapText="1"/>
    </xf>
    <xf numFmtId="165" fontId="0" fillId="0" borderId="24" xfId="1" applyNumberFormat="1" applyFont="1" applyBorder="1" applyAlignment="1">
      <alignment horizontal="center" vertical="center"/>
    </xf>
    <xf numFmtId="0" fontId="35" fillId="0" borderId="24" xfId="0" applyFont="1" applyBorder="1" applyAlignment="1">
      <alignment wrapText="1"/>
    </xf>
    <xf numFmtId="0" fontId="18" fillId="23" borderId="24" xfId="0" applyFont="1" applyFill="1" applyBorder="1" applyAlignment="1">
      <alignment horizontal="center" wrapText="1"/>
    </xf>
    <xf numFmtId="0" fontId="5" fillId="0" borderId="0" xfId="0" applyFont="1" applyAlignment="1">
      <alignment wrapText="1"/>
    </xf>
    <xf numFmtId="0" fontId="0" fillId="0" borderId="24" xfId="0" applyBorder="1" applyAlignment="1">
      <alignment horizontal="left"/>
    </xf>
    <xf numFmtId="0" fontId="42" fillId="0" borderId="0" xfId="0" applyFont="1" applyAlignment="1">
      <alignment wrapText="1"/>
    </xf>
    <xf numFmtId="0" fontId="35" fillId="0" borderId="0" xfId="0" applyFont="1" applyAlignment="1">
      <alignment wrapText="1"/>
    </xf>
    <xf numFmtId="10" fontId="0" fillId="0" borderId="0" xfId="0" applyNumberFormat="1" applyAlignment="1">
      <alignment horizontal="center" vertical="center"/>
    </xf>
    <xf numFmtId="0" fontId="35" fillId="18" borderId="24" xfId="0" applyFont="1" applyFill="1" applyBorder="1" applyAlignment="1">
      <alignment wrapText="1"/>
    </xf>
    <xf numFmtId="0" fontId="35" fillId="18" borderId="31" xfId="0" applyFont="1" applyFill="1" applyBorder="1" applyAlignment="1">
      <alignment horizontal="center" vertical="center" wrapText="1"/>
    </xf>
    <xf numFmtId="0" fontId="43" fillId="0" borderId="24" xfId="0" applyFont="1" applyBorder="1" applyAlignment="1">
      <alignment wrapText="1"/>
    </xf>
    <xf numFmtId="0" fontId="0" fillId="0" borderId="24" xfId="0" applyBorder="1" applyAlignment="1">
      <alignment horizontal="left" wrapText="1"/>
    </xf>
    <xf numFmtId="10" fontId="23" fillId="47" borderId="99" xfId="0" applyNumberFormat="1" applyFont="1" applyFill="1" applyBorder="1" applyAlignment="1">
      <alignment horizontal="center" vertical="center"/>
    </xf>
    <xf numFmtId="10" fontId="0" fillId="0" borderId="0" xfId="0" applyNumberFormat="1" applyAlignment="1">
      <alignment horizontal="center"/>
    </xf>
    <xf numFmtId="10" fontId="44" fillId="0" borderId="0" xfId="0" applyNumberFormat="1" applyFont="1"/>
    <xf numFmtId="165" fontId="0" fillId="0" borderId="24" xfId="0" applyNumberFormat="1" applyBorder="1" applyAlignment="1">
      <alignment horizontal="center" vertical="center"/>
    </xf>
    <xf numFmtId="10" fontId="21" fillId="0" borderId="24" xfId="1" applyNumberFormat="1" applyFont="1" applyBorder="1" applyAlignment="1">
      <alignment horizontal="center" vertical="center"/>
    </xf>
    <xf numFmtId="165" fontId="0" fillId="0" borderId="0" xfId="0" applyNumberFormat="1" applyAlignment="1">
      <alignment horizontal="center" vertical="center"/>
    </xf>
    <xf numFmtId="0" fontId="18" fillId="0" borderId="0" xfId="0" applyFont="1"/>
    <xf numFmtId="165" fontId="0" fillId="0" borderId="24" xfId="0" applyNumberFormat="1" applyBorder="1" applyAlignment="1">
      <alignment horizontal="center"/>
    </xf>
    <xf numFmtId="165" fontId="23" fillId="23" borderId="24" xfId="0" applyNumberFormat="1" applyFont="1" applyFill="1" applyBorder="1" applyAlignment="1">
      <alignment horizontal="center" vertical="center"/>
    </xf>
    <xf numFmtId="9" fontId="45" fillId="13" borderId="117" xfId="0" applyNumberFormat="1" applyFont="1" applyFill="1" applyBorder="1" applyAlignment="1">
      <alignment horizontal="center" vertical="center" wrapText="1"/>
    </xf>
    <xf numFmtId="9" fontId="45" fillId="0" borderId="115" xfId="0" applyNumberFormat="1" applyFont="1" applyBorder="1" applyAlignment="1">
      <alignment horizontal="center" vertical="center" wrapText="1"/>
    </xf>
    <xf numFmtId="0" fontId="46" fillId="0" borderId="0" xfId="0" applyFont="1" applyAlignment="1">
      <alignment wrapText="1"/>
    </xf>
    <xf numFmtId="0" fontId="27" fillId="0" borderId="0" xfId="0" applyFont="1" applyAlignment="1">
      <alignment horizontal="center" vertical="center" wrapText="1"/>
    </xf>
    <xf numFmtId="165" fontId="0" fillId="25" borderId="24" xfId="0" applyNumberFormat="1" applyFill="1" applyBorder="1" applyAlignment="1">
      <alignment horizontal="center" vertical="center"/>
    </xf>
    <xf numFmtId="165" fontId="0" fillId="18" borderId="24" xfId="0" applyNumberFormat="1" applyFill="1" applyBorder="1" applyAlignment="1">
      <alignment horizontal="center" vertical="center"/>
    </xf>
    <xf numFmtId="165" fontId="0" fillId="24" borderId="24" xfId="0" applyNumberFormat="1" applyFill="1" applyBorder="1" applyAlignment="1">
      <alignment horizontal="center" vertical="center"/>
    </xf>
    <xf numFmtId="165" fontId="18" fillId="0" borderId="0" xfId="0" applyNumberFormat="1" applyFont="1" applyAlignment="1">
      <alignment horizontal="center" vertical="center"/>
    </xf>
    <xf numFmtId="165" fontId="18" fillId="25" borderId="24" xfId="0" applyNumberFormat="1" applyFont="1" applyFill="1" applyBorder="1" applyAlignment="1">
      <alignment horizontal="center" vertical="center"/>
    </xf>
    <xf numFmtId="165" fontId="0" fillId="48" borderId="24" xfId="0" applyNumberFormat="1" applyFill="1" applyBorder="1" applyAlignment="1">
      <alignment horizontal="center" vertical="center"/>
    </xf>
    <xf numFmtId="0" fontId="18" fillId="23" borderId="24" xfId="0" applyFont="1" applyFill="1" applyBorder="1" applyAlignment="1">
      <alignment horizontal="center" vertical="center" wrapText="1"/>
    </xf>
    <xf numFmtId="0" fontId="18" fillId="0" borderId="24" xfId="0" applyFont="1" applyBorder="1" applyAlignment="1">
      <alignment horizontal="center" vertical="center"/>
    </xf>
    <xf numFmtId="0" fontId="47" fillId="0" borderId="24" xfId="0" applyFont="1" applyBorder="1" applyAlignment="1">
      <alignment wrapText="1"/>
    </xf>
    <xf numFmtId="165" fontId="18" fillId="18" borderId="24" xfId="0" applyNumberFormat="1" applyFont="1" applyFill="1" applyBorder="1" applyAlignment="1">
      <alignment horizontal="center" vertical="center"/>
    </xf>
    <xf numFmtId="165" fontId="5" fillId="25" borderId="24" xfId="1" applyNumberFormat="1" applyFont="1" applyFill="1" applyBorder="1" applyAlignment="1">
      <alignment horizontal="center" wrapText="1"/>
    </xf>
    <xf numFmtId="165" fontId="5" fillId="24" borderId="24" xfId="1" applyNumberFormat="1" applyFont="1" applyFill="1" applyBorder="1" applyAlignment="1">
      <alignment horizontal="center" wrapText="1"/>
    </xf>
    <xf numFmtId="165" fontId="5" fillId="18" borderId="24" xfId="1" applyNumberFormat="1" applyFont="1" applyFill="1" applyBorder="1" applyAlignment="1">
      <alignment horizontal="center" wrapText="1"/>
    </xf>
    <xf numFmtId="165" fontId="18" fillId="24" borderId="24" xfId="0" applyNumberFormat="1" applyFont="1" applyFill="1" applyBorder="1" applyAlignment="1">
      <alignment horizontal="center" vertical="center"/>
    </xf>
    <xf numFmtId="0" fontId="18" fillId="0" borderId="24" xfId="0" applyFont="1" applyBorder="1" applyAlignment="1">
      <alignment wrapText="1"/>
    </xf>
    <xf numFmtId="165" fontId="18" fillId="19" borderId="24" xfId="0" applyNumberFormat="1" applyFont="1" applyFill="1" applyBorder="1" applyAlignment="1">
      <alignment horizontal="center" vertical="center"/>
    </xf>
    <xf numFmtId="165" fontId="0" fillId="19" borderId="24" xfId="0" applyNumberFormat="1" applyFill="1" applyBorder="1" applyAlignment="1">
      <alignment horizontal="center" vertical="center"/>
    </xf>
    <xf numFmtId="0" fontId="18" fillId="0" borderId="24" xfId="0" applyFont="1" applyBorder="1" applyAlignment="1">
      <alignment horizontal="center"/>
    </xf>
    <xf numFmtId="0" fontId="18" fillId="0" borderId="24" xfId="0" applyFont="1" applyBorder="1"/>
    <xf numFmtId="0" fontId="18" fillId="0" borderId="0" xfId="0" applyFont="1" applyAlignment="1">
      <alignment wrapText="1"/>
    </xf>
    <xf numFmtId="10" fontId="10" fillId="34" borderId="24" xfId="0" applyNumberFormat="1" applyFont="1" applyFill="1" applyBorder="1" applyAlignment="1">
      <alignment horizontal="center" vertical="center" wrapText="1"/>
    </xf>
    <xf numFmtId="10" fontId="0" fillId="0" borderId="0" xfId="1" applyNumberFormat="1" applyFont="1" applyAlignment="1"/>
    <xf numFmtId="165" fontId="36" fillId="23" borderId="109" xfId="1" applyNumberFormat="1" applyFont="1" applyFill="1" applyBorder="1" applyAlignment="1">
      <alignment horizontal="center" vertical="center" wrapText="1"/>
    </xf>
    <xf numFmtId="10" fontId="21" fillId="0" borderId="102" xfId="1" applyNumberFormat="1" applyFont="1" applyBorder="1" applyAlignment="1">
      <alignment horizontal="center" vertical="center"/>
    </xf>
    <xf numFmtId="165" fontId="36" fillId="42" borderId="109" xfId="1" applyNumberFormat="1" applyFont="1" applyFill="1" applyBorder="1" applyAlignment="1">
      <alignment horizontal="center" vertical="center" wrapText="1"/>
    </xf>
    <xf numFmtId="0" fontId="48" fillId="0" borderId="1" xfId="0" applyFont="1" applyBorder="1" applyAlignment="1">
      <alignment wrapText="1"/>
    </xf>
    <xf numFmtId="0" fontId="49" fillId="0" borderId="0" xfId="0" applyFont="1"/>
    <xf numFmtId="0" fontId="48" fillId="0" borderId="4" xfId="0" applyFont="1" applyBorder="1" applyAlignment="1">
      <alignment wrapText="1"/>
    </xf>
    <xf numFmtId="0" fontId="48" fillId="30" borderId="10" xfId="0" applyFont="1" applyFill="1" applyBorder="1" applyAlignment="1">
      <alignment vertical="center" wrapText="1"/>
    </xf>
    <xf numFmtId="0" fontId="48" fillId="0" borderId="15" xfId="0" applyFont="1" applyBorder="1" applyAlignment="1">
      <alignment wrapText="1"/>
    </xf>
    <xf numFmtId="0" fontId="48" fillId="0" borderId="24" xfId="0" applyFont="1" applyBorder="1" applyAlignment="1">
      <alignment wrapText="1"/>
    </xf>
    <xf numFmtId="9" fontId="45" fillId="8" borderId="117" xfId="0" applyNumberFormat="1" applyFont="1" applyFill="1" applyBorder="1" applyAlignment="1">
      <alignment horizontal="center" vertical="center" wrapText="1"/>
    </xf>
    <xf numFmtId="165" fontId="45" fillId="34" borderId="24" xfId="0" applyNumberFormat="1" applyFont="1" applyFill="1" applyBorder="1" applyAlignment="1">
      <alignment horizontal="center" vertical="center" wrapText="1"/>
    </xf>
    <xf numFmtId="165" fontId="45" fillId="11" borderId="24" xfId="0" applyNumberFormat="1" applyFont="1" applyFill="1" applyBorder="1" applyAlignment="1">
      <alignment horizontal="center" vertical="center" wrapText="1"/>
    </xf>
    <xf numFmtId="0" fontId="48" fillId="0" borderId="34" xfId="0" applyFont="1" applyBorder="1" applyAlignment="1">
      <alignment wrapText="1"/>
    </xf>
    <xf numFmtId="165" fontId="45" fillId="32" borderId="24" xfId="0" applyNumberFormat="1" applyFont="1" applyFill="1" applyBorder="1" applyAlignment="1">
      <alignment horizontal="center" vertical="center" wrapText="1"/>
    </xf>
    <xf numFmtId="0" fontId="48" fillId="0" borderId="24" xfId="0" applyFont="1" applyBorder="1" applyAlignment="1">
      <alignment vertical="center" wrapText="1"/>
    </xf>
    <xf numFmtId="0" fontId="45" fillId="0" borderId="34" xfId="0" applyFont="1" applyBorder="1" applyAlignment="1">
      <alignment horizontal="center" vertical="center" wrapText="1"/>
    </xf>
    <xf numFmtId="9" fontId="48" fillId="0" borderId="24" xfId="0" applyNumberFormat="1" applyFont="1" applyBorder="1" applyAlignment="1">
      <alignment horizontal="center" vertical="center" wrapText="1"/>
    </xf>
    <xf numFmtId="165" fontId="48" fillId="0" borderId="24" xfId="0" applyNumberFormat="1" applyFont="1" applyBorder="1" applyAlignment="1">
      <alignment horizontal="center" vertical="center" wrapText="1"/>
    </xf>
    <xf numFmtId="0" fontId="48" fillId="0" borderId="20" xfId="0" applyFont="1" applyBorder="1" applyAlignment="1">
      <alignment wrapText="1"/>
    </xf>
    <xf numFmtId="9" fontId="45" fillId="0" borderId="73" xfId="0" applyNumberFormat="1" applyFont="1" applyBorder="1" applyAlignment="1">
      <alignment horizontal="center" vertical="center" wrapText="1"/>
    </xf>
    <xf numFmtId="0" fontId="48" fillId="30" borderId="16" xfId="0" applyFont="1" applyFill="1" applyBorder="1" applyAlignment="1">
      <alignment vertical="center" wrapText="1"/>
    </xf>
    <xf numFmtId="9" fontId="45" fillId="18" borderId="115" xfId="0" applyNumberFormat="1" applyFont="1" applyFill="1" applyBorder="1" applyAlignment="1">
      <alignment horizontal="center" vertical="center" wrapText="1"/>
    </xf>
    <xf numFmtId="0" fontId="48" fillId="19" borderId="1" xfId="0" applyFont="1" applyFill="1" applyBorder="1" applyAlignment="1">
      <alignment wrapText="1"/>
    </xf>
    <xf numFmtId="0" fontId="48" fillId="0" borderId="47" xfId="0" applyFont="1" applyBorder="1" applyAlignment="1">
      <alignment wrapText="1"/>
    </xf>
    <xf numFmtId="9" fontId="45" fillId="8" borderId="92" xfId="0" applyNumberFormat="1" applyFont="1" applyFill="1" applyBorder="1" applyAlignment="1">
      <alignment horizontal="center" vertical="center" wrapText="1"/>
    </xf>
    <xf numFmtId="9" fontId="45" fillId="8" borderId="34" xfId="0" applyNumberFormat="1" applyFont="1" applyFill="1" applyBorder="1" applyAlignment="1">
      <alignment horizontal="center" vertical="center" wrapText="1"/>
    </xf>
    <xf numFmtId="0" fontId="45" fillId="0" borderId="24" xfId="0" applyFont="1" applyBorder="1" applyAlignment="1">
      <alignment horizontal="center" vertical="center" wrapText="1"/>
    </xf>
    <xf numFmtId="0" fontId="48" fillId="0" borderId="48" xfId="0" applyFont="1" applyBorder="1" applyAlignment="1">
      <alignment wrapText="1"/>
    </xf>
    <xf numFmtId="0" fontId="48" fillId="0" borderId="25" xfId="0" applyFont="1" applyBorder="1" applyAlignment="1">
      <alignment wrapText="1"/>
    </xf>
    <xf numFmtId="0" fontId="48" fillId="0" borderId="119" xfId="0" applyFont="1" applyBorder="1" applyAlignment="1">
      <alignment wrapText="1"/>
    </xf>
    <xf numFmtId="0" fontId="48" fillId="14" borderId="47" xfId="0" applyFont="1" applyFill="1" applyBorder="1" applyAlignment="1">
      <alignment wrapText="1"/>
    </xf>
    <xf numFmtId="0" fontId="48" fillId="0" borderId="47" xfId="0" applyFont="1" applyBorder="1" applyAlignment="1">
      <alignment vertical="center"/>
    </xf>
    <xf numFmtId="0" fontId="48" fillId="19" borderId="20" xfId="0" applyFont="1" applyFill="1" applyBorder="1" applyAlignment="1">
      <alignment wrapText="1"/>
    </xf>
    <xf numFmtId="0" fontId="49" fillId="19" borderId="0" xfId="0" applyFont="1" applyFill="1"/>
    <xf numFmtId="0" fontId="52" fillId="0" borderId="4" xfId="0" applyFont="1" applyBorder="1" applyAlignment="1">
      <alignment wrapText="1"/>
    </xf>
    <xf numFmtId="0" fontId="53" fillId="0" borderId="0" xfId="0" applyFont="1"/>
    <xf numFmtId="0" fontId="54" fillId="0" borderId="35" xfId="0" applyFont="1" applyBorder="1" applyAlignment="1">
      <alignment vertical="center" wrapText="1"/>
    </xf>
    <xf numFmtId="0" fontId="54" fillId="25" borderId="35" xfId="0" applyFont="1" applyFill="1" applyBorder="1" applyAlignment="1">
      <alignment vertical="center" wrapText="1"/>
    </xf>
    <xf numFmtId="0" fontId="54" fillId="26" borderId="35" xfId="0" applyFont="1" applyFill="1" applyBorder="1" applyAlignment="1">
      <alignment vertical="center" wrapText="1"/>
    </xf>
    <xf numFmtId="0" fontId="54" fillId="18" borderId="35" xfId="0" applyFont="1" applyFill="1" applyBorder="1" applyAlignment="1">
      <alignment vertical="center" wrapText="1"/>
    </xf>
    <xf numFmtId="0" fontId="54" fillId="27" borderId="35" xfId="0" applyFont="1" applyFill="1" applyBorder="1" applyAlignment="1">
      <alignment vertical="center" wrapText="1"/>
    </xf>
    <xf numFmtId="0" fontId="54" fillId="24" borderId="35" xfId="0" applyFont="1" applyFill="1" applyBorder="1" applyAlignment="1">
      <alignment vertical="center" wrapText="1"/>
    </xf>
    <xf numFmtId="10" fontId="55" fillId="0" borderId="27" xfId="0" applyNumberFormat="1" applyFont="1" applyBorder="1" applyAlignment="1">
      <alignment horizontal="center" vertical="center" wrapText="1"/>
    </xf>
    <xf numFmtId="10" fontId="55" fillId="0" borderId="13" xfId="1" applyNumberFormat="1" applyFont="1" applyBorder="1" applyAlignment="1">
      <alignment horizontal="center" vertical="center" wrapText="1"/>
    </xf>
    <xf numFmtId="0" fontId="56" fillId="0" borderId="24" xfId="0" applyFont="1" applyBorder="1" applyAlignment="1">
      <alignment horizontal="center" vertical="center" wrapText="1"/>
    </xf>
    <xf numFmtId="0" fontId="57" fillId="0" borderId="1" xfId="0" applyFont="1" applyBorder="1" applyAlignment="1">
      <alignment wrapText="1"/>
    </xf>
    <xf numFmtId="0" fontId="57" fillId="0" borderId="3" xfId="0" applyFont="1" applyBorder="1" applyAlignment="1">
      <alignment wrapText="1"/>
    </xf>
    <xf numFmtId="0" fontId="58" fillId="0" borderId="3" xfId="0" applyFont="1" applyBorder="1" applyAlignment="1">
      <alignment wrapText="1"/>
    </xf>
    <xf numFmtId="0" fontId="59" fillId="0" borderId="0" xfId="0" applyFont="1"/>
    <xf numFmtId="0" fontId="57" fillId="0" borderId="22" xfId="0" applyFont="1" applyBorder="1" applyAlignment="1">
      <alignment wrapText="1"/>
    </xf>
    <xf numFmtId="0" fontId="57" fillId="0" borderId="54" xfId="0" applyFont="1" applyBorder="1" applyAlignment="1">
      <alignment wrapText="1"/>
    </xf>
    <xf numFmtId="0" fontId="57" fillId="0" borderId="15" xfId="0" applyFont="1" applyBorder="1" applyAlignment="1">
      <alignment wrapText="1"/>
    </xf>
    <xf numFmtId="9" fontId="58" fillId="8" borderId="34" xfId="0" applyNumberFormat="1" applyFont="1" applyFill="1" applyBorder="1" applyAlignment="1">
      <alignment horizontal="center" vertical="center" wrapText="1"/>
    </xf>
    <xf numFmtId="9" fontId="58" fillId="8" borderId="24" xfId="0" applyNumberFormat="1" applyFont="1" applyFill="1" applyBorder="1" applyAlignment="1">
      <alignment horizontal="center" vertical="center" wrapText="1"/>
    </xf>
    <xf numFmtId="165" fontId="57" fillId="0" borderId="24" xfId="0" applyNumberFormat="1" applyFont="1" applyBorder="1" applyAlignment="1">
      <alignment vertical="center" wrapText="1"/>
    </xf>
    <xf numFmtId="165" fontId="58" fillId="34" borderId="24" xfId="0" applyNumberFormat="1" applyFont="1" applyFill="1" applyBorder="1" applyAlignment="1">
      <alignment horizontal="center" vertical="center" wrapText="1"/>
    </xf>
    <xf numFmtId="165" fontId="58" fillId="11" borderId="24" xfId="0" applyNumberFormat="1" applyFont="1" applyFill="1" applyBorder="1" applyAlignment="1">
      <alignment horizontal="center" vertical="center" wrapText="1"/>
    </xf>
    <xf numFmtId="0" fontId="57" fillId="0" borderId="24" xfId="0" applyFont="1" applyBorder="1" applyAlignment="1">
      <alignment wrapText="1"/>
    </xf>
    <xf numFmtId="165" fontId="58" fillId="40" borderId="34" xfId="0" applyNumberFormat="1" applyFont="1" applyFill="1" applyBorder="1" applyAlignment="1">
      <alignment horizontal="center" vertical="center" wrapText="1"/>
    </xf>
    <xf numFmtId="0" fontId="57" fillId="0" borderId="55" xfId="0" applyFont="1" applyBorder="1" applyAlignment="1">
      <alignment wrapText="1"/>
    </xf>
    <xf numFmtId="9" fontId="58" fillId="13" borderId="34" xfId="0" applyNumberFormat="1" applyFont="1" applyFill="1" applyBorder="1" applyAlignment="1">
      <alignment horizontal="center" vertical="center" wrapText="1"/>
    </xf>
    <xf numFmtId="0" fontId="58" fillId="0" borderId="24" xfId="0" applyFont="1" applyBorder="1" applyAlignment="1">
      <alignment vertical="center" wrapText="1"/>
    </xf>
    <xf numFmtId="0" fontId="57" fillId="0" borderId="24" xfId="0" applyFont="1" applyBorder="1" applyAlignment="1">
      <alignment vertical="center" wrapText="1"/>
    </xf>
    <xf numFmtId="165" fontId="58" fillId="32" borderId="24" xfId="0" applyNumberFormat="1" applyFont="1" applyFill="1" applyBorder="1" applyAlignment="1">
      <alignment horizontal="center" vertical="center" wrapText="1"/>
    </xf>
    <xf numFmtId="0" fontId="57" fillId="0" borderId="24" xfId="0" applyFont="1" applyBorder="1" applyAlignment="1">
      <alignment horizontal="center" vertical="center" wrapText="1"/>
    </xf>
    <xf numFmtId="165" fontId="57" fillId="4" borderId="24" xfId="0" applyNumberFormat="1" applyFont="1" applyFill="1" applyBorder="1" applyAlignment="1">
      <alignment horizontal="center" vertical="center" wrapText="1"/>
    </xf>
    <xf numFmtId="165" fontId="58" fillId="33" borderId="34" xfId="0" applyNumberFormat="1" applyFont="1" applyFill="1" applyBorder="1" applyAlignment="1">
      <alignment horizontal="center" vertical="center" wrapText="1"/>
    </xf>
    <xf numFmtId="0" fontId="57" fillId="14" borderId="56" xfId="0" applyFont="1" applyFill="1" applyBorder="1" applyAlignment="1">
      <alignment vertical="center" wrapText="1"/>
    </xf>
    <xf numFmtId="9" fontId="58" fillId="0" borderId="6" xfId="0" applyNumberFormat="1" applyFont="1" applyBorder="1" applyAlignment="1">
      <alignment horizontal="center" vertical="center" wrapText="1"/>
    </xf>
    <xf numFmtId="0" fontId="58" fillId="0" borderId="24" xfId="0" applyFont="1" applyBorder="1" applyAlignment="1">
      <alignment horizontal="center" vertical="center" wrapText="1"/>
    </xf>
    <xf numFmtId="9" fontId="57" fillId="0" borderId="24" xfId="0" applyNumberFormat="1" applyFont="1" applyBorder="1" applyAlignment="1">
      <alignment horizontal="center" vertical="center" wrapText="1"/>
    </xf>
    <xf numFmtId="9" fontId="57" fillId="0" borderId="24" xfId="0" applyNumberFormat="1" applyFont="1" applyBorder="1" applyAlignment="1">
      <alignment horizontal="center" wrapText="1"/>
    </xf>
    <xf numFmtId="10" fontId="57" fillId="0" borderId="24" xfId="0" applyNumberFormat="1" applyFont="1" applyBorder="1" applyAlignment="1">
      <alignment horizontal="center" vertical="center" wrapText="1"/>
    </xf>
    <xf numFmtId="9" fontId="57" fillId="25" borderId="34" xfId="0" applyNumberFormat="1" applyFont="1" applyFill="1" applyBorder="1" applyAlignment="1">
      <alignment horizontal="center" vertical="center" wrapText="1"/>
    </xf>
    <xf numFmtId="9" fontId="57" fillId="25" borderId="24" xfId="0" applyNumberFormat="1" applyFont="1" applyFill="1" applyBorder="1" applyAlignment="1">
      <alignment horizontal="center" vertical="center" wrapText="1"/>
    </xf>
    <xf numFmtId="0" fontId="57" fillId="43" borderId="56" xfId="0" applyFont="1" applyFill="1" applyBorder="1" applyAlignment="1">
      <alignment vertical="center" wrapText="1"/>
    </xf>
    <xf numFmtId="0" fontId="57" fillId="0" borderId="57" xfId="0" applyFont="1" applyBorder="1" applyAlignment="1">
      <alignment wrapText="1"/>
    </xf>
    <xf numFmtId="0" fontId="57" fillId="14" borderId="16" xfId="0" applyFont="1" applyFill="1" applyBorder="1" applyAlignment="1">
      <alignment vertical="center" wrapText="1"/>
    </xf>
    <xf numFmtId="0" fontId="57" fillId="0" borderId="73" xfId="0" applyFont="1" applyBorder="1" applyAlignment="1">
      <alignment wrapText="1"/>
    </xf>
    <xf numFmtId="0" fontId="57" fillId="0" borderId="74" xfId="0" applyFont="1" applyBorder="1" applyAlignment="1">
      <alignment wrapText="1"/>
    </xf>
    <xf numFmtId="165" fontId="58" fillId="39" borderId="34" xfId="0" applyNumberFormat="1" applyFont="1" applyFill="1" applyBorder="1" applyAlignment="1">
      <alignment horizontal="center" vertical="center" wrapText="1"/>
    </xf>
    <xf numFmtId="0" fontId="58" fillId="0" borderId="24" xfId="0" applyFont="1" applyBorder="1" applyAlignment="1">
      <alignment wrapText="1"/>
    </xf>
    <xf numFmtId="0" fontId="57" fillId="16" borderId="22" xfId="0" applyFont="1" applyFill="1" applyBorder="1" applyAlignment="1">
      <alignment wrapText="1"/>
    </xf>
    <xf numFmtId="0" fontId="57" fillId="19" borderId="74" xfId="0" applyFont="1" applyFill="1" applyBorder="1" applyAlignment="1">
      <alignment wrapText="1"/>
    </xf>
    <xf numFmtId="9" fontId="58" fillId="19" borderId="6" xfId="0" applyNumberFormat="1" applyFont="1" applyFill="1" applyBorder="1" applyAlignment="1">
      <alignment horizontal="center" vertical="center" wrapText="1"/>
    </xf>
    <xf numFmtId="9" fontId="57" fillId="19" borderId="34" xfId="0" applyNumberFormat="1" applyFont="1" applyFill="1" applyBorder="1" applyAlignment="1">
      <alignment horizontal="center" vertical="center" wrapText="1"/>
    </xf>
    <xf numFmtId="165" fontId="58" fillId="4" borderId="24" xfId="0" applyNumberFormat="1" applyFont="1" applyFill="1" applyBorder="1" applyAlignment="1">
      <alignment horizontal="center" vertical="center" wrapText="1"/>
    </xf>
    <xf numFmtId="0" fontId="57" fillId="0" borderId="74" xfId="0" applyFont="1" applyBorder="1" applyAlignment="1">
      <alignment horizontal="left" vertical="center" wrapText="1"/>
    </xf>
    <xf numFmtId="165" fontId="57" fillId="0" borderId="24" xfId="0" applyNumberFormat="1" applyFont="1" applyBorder="1" applyAlignment="1">
      <alignment horizontal="center" vertical="center" wrapText="1"/>
    </xf>
    <xf numFmtId="0" fontId="57" fillId="0" borderId="75" xfId="0" applyFont="1" applyBorder="1" applyAlignment="1">
      <alignment wrapText="1"/>
    </xf>
    <xf numFmtId="0" fontId="57" fillId="0" borderId="25" xfId="0" applyFont="1" applyBorder="1" applyAlignment="1">
      <alignment wrapText="1"/>
    </xf>
    <xf numFmtId="0" fontId="57" fillId="0" borderId="81" xfId="0" applyFont="1" applyBorder="1" applyAlignment="1">
      <alignment wrapText="1"/>
    </xf>
    <xf numFmtId="0" fontId="57" fillId="0" borderId="86" xfId="0" applyFont="1" applyBorder="1" applyAlignment="1">
      <alignment wrapText="1"/>
    </xf>
    <xf numFmtId="0" fontId="57" fillId="0" borderId="82" xfId="0" applyFont="1" applyBorder="1" applyAlignment="1">
      <alignment wrapText="1"/>
    </xf>
    <xf numFmtId="0" fontId="57" fillId="0" borderId="85" xfId="0" applyFont="1" applyBorder="1" applyAlignment="1">
      <alignment wrapText="1"/>
    </xf>
    <xf numFmtId="0" fontId="57" fillId="0" borderId="87" xfId="0" applyFont="1" applyBorder="1" applyAlignment="1">
      <alignment wrapText="1"/>
    </xf>
    <xf numFmtId="0" fontId="57" fillId="0" borderId="76" xfId="0" applyFont="1" applyBorder="1" applyAlignment="1">
      <alignment wrapText="1"/>
    </xf>
    <xf numFmtId="0" fontId="57" fillId="0" borderId="77" xfId="0" applyFont="1" applyBorder="1" applyAlignment="1">
      <alignment wrapText="1"/>
    </xf>
    <xf numFmtId="0" fontId="57" fillId="0" borderId="78" xfId="0" applyFont="1" applyBorder="1" applyAlignment="1">
      <alignment wrapText="1"/>
    </xf>
    <xf numFmtId="0" fontId="57" fillId="14" borderId="75" xfId="0" applyFont="1" applyFill="1" applyBorder="1" applyAlignment="1">
      <alignment vertical="center" wrapText="1"/>
    </xf>
    <xf numFmtId="2" fontId="57" fillId="0" borderId="24" xfId="0" applyNumberFormat="1" applyFont="1" applyBorder="1" applyAlignment="1">
      <alignment horizontal="center" vertical="center" wrapText="1"/>
    </xf>
    <xf numFmtId="0" fontId="57" fillId="14" borderId="25" xfId="0" applyFont="1" applyFill="1" applyBorder="1" applyAlignment="1">
      <alignment vertical="center" wrapText="1"/>
    </xf>
    <xf numFmtId="0" fontId="57" fillId="14" borderId="76" xfId="0" applyFont="1" applyFill="1" applyBorder="1" applyAlignment="1">
      <alignment vertical="center" wrapText="1"/>
    </xf>
    <xf numFmtId="0" fontId="57" fillId="0" borderId="20" xfId="0" applyFont="1" applyBorder="1" applyAlignment="1">
      <alignment wrapText="1"/>
    </xf>
    <xf numFmtId="0" fontId="58" fillId="0" borderId="20" xfId="0" applyFont="1" applyBorder="1" applyAlignment="1">
      <alignment wrapText="1"/>
    </xf>
    <xf numFmtId="0" fontId="58" fillId="0" borderId="1" xfId="0" applyFont="1" applyBorder="1" applyAlignment="1">
      <alignment wrapText="1"/>
    </xf>
    <xf numFmtId="0" fontId="57" fillId="0" borderId="1" xfId="0" applyFont="1" applyBorder="1" applyAlignment="1">
      <alignment horizontal="right" wrapText="1"/>
    </xf>
    <xf numFmtId="0" fontId="60" fillId="0" borderId="0" xfId="0" applyFont="1"/>
    <xf numFmtId="0" fontId="62" fillId="0" borderId="22" xfId="0" applyFont="1" applyBorder="1" applyAlignment="1">
      <alignment wrapText="1"/>
    </xf>
    <xf numFmtId="0" fontId="62" fillId="0" borderId="54" xfId="0" applyFont="1" applyBorder="1" applyAlignment="1">
      <alignment wrapText="1"/>
    </xf>
    <xf numFmtId="9" fontId="63" fillId="0" borderId="34" xfId="0" applyNumberFormat="1" applyFont="1" applyBorder="1" applyAlignment="1">
      <alignment horizontal="center" vertical="center" wrapText="1"/>
    </xf>
    <xf numFmtId="0" fontId="64" fillId="0" borderId="24" xfId="0" applyFont="1" applyBorder="1"/>
    <xf numFmtId="0" fontId="65" fillId="0" borderId="24" xfId="0" applyFont="1" applyBorder="1"/>
    <xf numFmtId="165" fontId="62" fillId="0" borderId="24" xfId="0" applyNumberFormat="1" applyFont="1" applyBorder="1" applyAlignment="1">
      <alignment wrapText="1"/>
    </xf>
    <xf numFmtId="0" fontId="65" fillId="0" borderId="0" xfId="0" applyFont="1"/>
    <xf numFmtId="0" fontId="57" fillId="0" borderId="17" xfId="0" applyFont="1" applyBorder="1" applyAlignment="1">
      <alignment wrapText="1"/>
    </xf>
    <xf numFmtId="0" fontId="57" fillId="19" borderId="24" xfId="0" applyFont="1" applyFill="1" applyBorder="1" applyAlignment="1">
      <alignment wrapText="1"/>
    </xf>
    <xf numFmtId="0" fontId="57" fillId="0" borderId="34" xfId="0" applyFont="1" applyBorder="1" applyAlignment="1">
      <alignment wrapText="1"/>
    </xf>
    <xf numFmtId="9" fontId="57" fillId="0" borderId="24" xfId="0" applyNumberFormat="1" applyFont="1" applyBorder="1" applyAlignment="1">
      <alignment vertical="center" wrapText="1"/>
    </xf>
    <xf numFmtId="10" fontId="57" fillId="0" borderId="24" xfId="0" applyNumberFormat="1" applyFont="1" applyBorder="1" applyAlignment="1">
      <alignment vertical="center" wrapText="1"/>
    </xf>
    <xf numFmtId="10" fontId="58" fillId="34" borderId="24" xfId="0" applyNumberFormat="1" applyFont="1" applyFill="1" applyBorder="1" applyAlignment="1">
      <alignment horizontal="center" vertical="center" wrapText="1"/>
    </xf>
    <xf numFmtId="165" fontId="58" fillId="11" borderId="47" xfId="0" applyNumberFormat="1" applyFont="1" applyFill="1" applyBorder="1" applyAlignment="1">
      <alignment horizontal="center" vertical="center" wrapText="1"/>
    </xf>
    <xf numFmtId="9" fontId="58" fillId="13" borderId="31" xfId="0" applyNumberFormat="1" applyFont="1" applyFill="1" applyBorder="1" applyAlignment="1">
      <alignment horizontal="center" vertical="center" wrapText="1"/>
    </xf>
    <xf numFmtId="165" fontId="58" fillId="32" borderId="47" xfId="0" applyNumberFormat="1" applyFont="1" applyFill="1" applyBorder="1" applyAlignment="1">
      <alignment horizontal="center" vertical="center" wrapText="1"/>
    </xf>
    <xf numFmtId="0" fontId="57" fillId="14" borderId="55" xfId="0" applyFont="1" applyFill="1" applyBorder="1" applyAlignment="1">
      <alignment vertical="center" wrapText="1"/>
    </xf>
    <xf numFmtId="0" fontId="57" fillId="14" borderId="116" xfId="0" applyFont="1" applyFill="1" applyBorder="1" applyAlignment="1">
      <alignment vertical="center" wrapText="1"/>
    </xf>
    <xf numFmtId="9" fontId="58" fillId="0" borderId="73" xfId="0" applyNumberFormat="1" applyFont="1" applyBorder="1" applyAlignment="1">
      <alignment horizontal="center" vertical="center" wrapText="1"/>
    </xf>
    <xf numFmtId="0" fontId="58" fillId="0" borderId="34" xfId="0" applyFont="1" applyBorder="1" applyAlignment="1">
      <alignment horizontal="center" vertical="center" wrapText="1"/>
    </xf>
    <xf numFmtId="9" fontId="57" fillId="0" borderId="47" xfId="0" applyNumberFormat="1" applyFont="1" applyBorder="1" applyAlignment="1">
      <alignment horizontal="center" vertical="center" wrapText="1"/>
    </xf>
    <xf numFmtId="9" fontId="58" fillId="0" borderId="114" xfId="0" applyNumberFormat="1" applyFont="1" applyBorder="1" applyAlignment="1">
      <alignment horizontal="center" vertical="center" wrapText="1"/>
    </xf>
    <xf numFmtId="165" fontId="58" fillId="0" borderId="114" xfId="0" applyNumberFormat="1" applyFont="1" applyBorder="1" applyAlignment="1">
      <alignment horizontal="center" vertical="center" wrapText="1"/>
    </xf>
    <xf numFmtId="165" fontId="57" fillId="0" borderId="47" xfId="0" applyNumberFormat="1" applyFont="1" applyBorder="1" applyAlignment="1">
      <alignment horizontal="center" vertical="center" wrapText="1"/>
    </xf>
    <xf numFmtId="0" fontId="57" fillId="0" borderId="116" xfId="0" applyFont="1" applyBorder="1" applyAlignment="1">
      <alignment wrapText="1"/>
    </xf>
    <xf numFmtId="9" fontId="58" fillId="13" borderId="117" xfId="0" applyNumberFormat="1" applyFont="1" applyFill="1" applyBorder="1" applyAlignment="1">
      <alignment horizontal="center" vertical="center" wrapText="1"/>
    </xf>
    <xf numFmtId="0" fontId="57" fillId="0" borderId="34" xfId="0" applyFont="1" applyBorder="1" applyAlignment="1">
      <alignment horizontal="center" vertical="center" wrapText="1"/>
    </xf>
    <xf numFmtId="9" fontId="58" fillId="8" borderId="117" xfId="0" applyNumberFormat="1" applyFont="1" applyFill="1" applyBorder="1" applyAlignment="1">
      <alignment horizontal="center" vertical="center" wrapText="1"/>
    </xf>
    <xf numFmtId="0" fontId="57" fillId="43" borderId="55" xfId="0" applyFont="1" applyFill="1" applyBorder="1" applyAlignment="1">
      <alignment vertical="center" wrapText="1"/>
    </xf>
    <xf numFmtId="0" fontId="57" fillId="19" borderId="24" xfId="0" applyFont="1" applyFill="1" applyBorder="1" applyAlignment="1">
      <alignment horizontal="center" vertical="center" wrapText="1"/>
    </xf>
    <xf numFmtId="0" fontId="57" fillId="43" borderId="116" xfId="0" applyFont="1" applyFill="1" applyBorder="1" applyAlignment="1">
      <alignment vertical="center" wrapText="1"/>
    </xf>
    <xf numFmtId="9" fontId="58" fillId="19" borderId="114" xfId="0" applyNumberFormat="1" applyFont="1" applyFill="1" applyBorder="1" applyAlignment="1">
      <alignment horizontal="center" vertical="center" wrapText="1"/>
    </xf>
    <xf numFmtId="9" fontId="58" fillId="18" borderId="114" xfId="0" applyNumberFormat="1" applyFont="1" applyFill="1" applyBorder="1" applyAlignment="1">
      <alignment horizontal="center" vertical="center" wrapText="1"/>
    </xf>
    <xf numFmtId="0" fontId="57" fillId="19" borderId="116" xfId="0" applyFont="1" applyFill="1" applyBorder="1" applyAlignment="1">
      <alignment wrapText="1"/>
    </xf>
    <xf numFmtId="2" fontId="57" fillId="19" borderId="24" xfId="0" applyNumberFormat="1" applyFont="1" applyFill="1" applyBorder="1" applyAlignment="1">
      <alignment horizontal="center" vertical="center" wrapText="1"/>
    </xf>
    <xf numFmtId="9" fontId="57" fillId="19" borderId="24" xfId="0" applyNumberFormat="1" applyFont="1" applyFill="1" applyBorder="1" applyAlignment="1">
      <alignment horizontal="center" vertical="center" wrapText="1"/>
    </xf>
    <xf numFmtId="167" fontId="57" fillId="0" borderId="24" xfId="0" applyNumberFormat="1" applyFont="1" applyBorder="1" applyAlignment="1">
      <alignment horizontal="center" vertical="center" wrapText="1"/>
    </xf>
    <xf numFmtId="0" fontId="56" fillId="0" borderId="24" xfId="0" applyFont="1" applyBorder="1" applyAlignment="1">
      <alignment horizontal="center" vertical="center"/>
    </xf>
    <xf numFmtId="10" fontId="58" fillId="11" borderId="47" xfId="0" applyNumberFormat="1" applyFont="1" applyFill="1" applyBorder="1" applyAlignment="1">
      <alignment horizontal="center" vertical="center" wrapText="1"/>
    </xf>
    <xf numFmtId="0" fontId="57" fillId="0" borderId="116" xfId="0" applyFont="1" applyBorder="1" applyAlignment="1">
      <alignment vertical="center" wrapText="1"/>
    </xf>
    <xf numFmtId="9" fontId="57" fillId="25" borderId="24" xfId="0" applyNumberFormat="1" applyFont="1" applyFill="1" applyBorder="1" applyAlignment="1">
      <alignment horizontal="left" vertical="center" wrapText="1"/>
    </xf>
    <xf numFmtId="0" fontId="57" fillId="18" borderId="116" xfId="0" applyFont="1" applyFill="1" applyBorder="1" applyAlignment="1">
      <alignment wrapText="1"/>
    </xf>
    <xf numFmtId="0" fontId="56" fillId="14" borderId="14" xfId="0" applyFont="1" applyFill="1" applyBorder="1" applyAlignment="1">
      <alignment horizontal="center" vertical="center"/>
    </xf>
    <xf numFmtId="43" fontId="57" fillId="0" borderId="24" xfId="3" applyFont="1" applyBorder="1" applyAlignment="1">
      <alignment horizontal="center" vertical="center" wrapText="1"/>
    </xf>
    <xf numFmtId="0" fontId="57" fillId="19" borderId="116" xfId="0" applyFont="1" applyFill="1" applyBorder="1" applyAlignment="1">
      <alignment vertical="center" wrapText="1"/>
    </xf>
    <xf numFmtId="0" fontId="59" fillId="0" borderId="24" xfId="0" applyFont="1" applyBorder="1" applyAlignment="1">
      <alignment horizontal="center" vertical="center"/>
    </xf>
    <xf numFmtId="10" fontId="57" fillId="0" borderId="47" xfId="0" applyNumberFormat="1" applyFont="1" applyBorder="1" applyAlignment="1">
      <alignment horizontal="center" vertical="center" wrapText="1"/>
    </xf>
    <xf numFmtId="167" fontId="59" fillId="0" borderId="24" xfId="0" applyNumberFormat="1" applyFont="1" applyBorder="1" applyAlignment="1">
      <alignment horizontal="center" vertical="center"/>
    </xf>
    <xf numFmtId="0" fontId="57" fillId="52" borderId="116" xfId="0" applyFont="1" applyFill="1" applyBorder="1" applyAlignment="1">
      <alignment vertical="center" wrapText="1"/>
    </xf>
    <xf numFmtId="9" fontId="58" fillId="53" borderId="114" xfId="0" applyNumberFormat="1" applyFont="1" applyFill="1" applyBorder="1" applyAlignment="1">
      <alignment horizontal="center" vertical="center" wrapText="1"/>
    </xf>
    <xf numFmtId="0" fontId="57" fillId="0" borderId="129" xfId="0" applyFont="1" applyBorder="1" applyAlignment="1">
      <alignment wrapText="1"/>
    </xf>
    <xf numFmtId="0" fontId="59" fillId="19" borderId="24" xfId="0" applyFont="1" applyFill="1" applyBorder="1"/>
    <xf numFmtId="0" fontId="66" fillId="0" borderId="22" xfId="0" applyFont="1" applyBorder="1" applyAlignment="1">
      <alignment wrapText="1"/>
    </xf>
    <xf numFmtId="0" fontId="66" fillId="0" borderId="34" xfId="0" applyFont="1" applyBorder="1" applyAlignment="1">
      <alignment wrapText="1"/>
    </xf>
    <xf numFmtId="9" fontId="68" fillId="0" borderId="24" xfId="0" applyNumberFormat="1" applyFont="1" applyBorder="1" applyAlignment="1">
      <alignment horizontal="center" vertical="center"/>
    </xf>
    <xf numFmtId="0" fontId="69" fillId="0" borderId="24" xfId="0" applyFont="1" applyBorder="1"/>
    <xf numFmtId="165" fontId="66" fillId="0" borderId="24" xfId="0" applyNumberFormat="1" applyFont="1" applyBorder="1" applyAlignment="1">
      <alignment wrapText="1"/>
    </xf>
    <xf numFmtId="0" fontId="69" fillId="0" borderId="0" xfId="0" applyFont="1"/>
    <xf numFmtId="0" fontId="57" fillId="0" borderId="4" xfId="0" applyFont="1" applyBorder="1" applyAlignment="1">
      <alignment wrapText="1"/>
    </xf>
    <xf numFmtId="0" fontId="57" fillId="0" borderId="19" xfId="0" applyFont="1" applyBorder="1" applyAlignment="1">
      <alignment wrapText="1"/>
    </xf>
    <xf numFmtId="0" fontId="57" fillId="0" borderId="16" xfId="0" applyFont="1" applyBorder="1" applyAlignment="1">
      <alignment wrapText="1"/>
    </xf>
    <xf numFmtId="165" fontId="58" fillId="8" borderId="34" xfId="0" applyNumberFormat="1" applyFont="1" applyFill="1" applyBorder="1" applyAlignment="1">
      <alignment horizontal="center" vertical="center" wrapText="1"/>
    </xf>
    <xf numFmtId="165" fontId="58" fillId="36" borderId="24" xfId="0" applyNumberFormat="1" applyFont="1" applyFill="1" applyBorder="1" applyAlignment="1">
      <alignment horizontal="center" vertical="center" wrapText="1"/>
    </xf>
    <xf numFmtId="9" fontId="58" fillId="13" borderId="113" xfId="0" applyNumberFormat="1" applyFont="1" applyFill="1" applyBorder="1" applyAlignment="1">
      <alignment horizontal="center" vertical="center" wrapText="1"/>
    </xf>
    <xf numFmtId="9" fontId="58" fillId="0" borderId="115" xfId="0" applyNumberFormat="1" applyFont="1" applyBorder="1" applyAlignment="1">
      <alignment horizontal="center" vertical="center" wrapText="1"/>
    </xf>
    <xf numFmtId="9" fontId="58" fillId="13" borderId="43" xfId="0" applyNumberFormat="1" applyFont="1" applyFill="1" applyBorder="1" applyAlignment="1">
      <alignment horizontal="center" vertical="center" wrapText="1"/>
    </xf>
    <xf numFmtId="9" fontId="58" fillId="13" borderId="118" xfId="0" applyNumberFormat="1" applyFont="1" applyFill="1" applyBorder="1" applyAlignment="1">
      <alignment horizontal="center" vertical="center" wrapText="1"/>
    </xf>
    <xf numFmtId="0" fontId="57" fillId="0" borderId="27" xfId="0" applyFont="1" applyBorder="1" applyAlignment="1">
      <alignment wrapText="1"/>
    </xf>
    <xf numFmtId="0" fontId="57" fillId="50" borderId="24" xfId="0" applyFont="1" applyFill="1" applyBorder="1" applyAlignment="1">
      <alignment wrapText="1"/>
    </xf>
    <xf numFmtId="43" fontId="58" fillId="0" borderId="34" xfId="3" applyFont="1" applyBorder="1" applyAlignment="1">
      <alignment horizontal="center" vertical="center" wrapText="1"/>
    </xf>
    <xf numFmtId="0" fontId="57" fillId="19" borderId="16" xfId="0" applyFont="1" applyFill="1" applyBorder="1" applyAlignment="1">
      <alignment wrapText="1"/>
    </xf>
    <xf numFmtId="0" fontId="57" fillId="25" borderId="24" xfId="0" applyFont="1" applyFill="1" applyBorder="1" applyAlignment="1">
      <alignment wrapText="1"/>
    </xf>
    <xf numFmtId="10" fontId="58" fillId="32" borderId="24" xfId="0" applyNumberFormat="1" applyFont="1" applyFill="1" applyBorder="1" applyAlignment="1">
      <alignment horizontal="center" vertical="center" wrapText="1"/>
    </xf>
    <xf numFmtId="3" fontId="56" fillId="19" borderId="24" xfId="0" applyNumberFormat="1" applyFont="1" applyFill="1" applyBorder="1" applyAlignment="1">
      <alignment horizontal="center" vertical="center" wrapText="1"/>
    </xf>
    <xf numFmtId="4" fontId="56" fillId="19" borderId="24" xfId="0" applyNumberFormat="1" applyFont="1" applyFill="1" applyBorder="1" applyAlignment="1">
      <alignment horizontal="center" vertical="center" wrapText="1"/>
    </xf>
    <xf numFmtId="9" fontId="58" fillId="0" borderId="43" xfId="0" applyNumberFormat="1" applyFont="1" applyBorder="1" applyAlignment="1">
      <alignment horizontal="center" vertical="center" wrapText="1"/>
    </xf>
    <xf numFmtId="3" fontId="56" fillId="19" borderId="31" xfId="0" applyNumberFormat="1" applyFont="1" applyFill="1" applyBorder="1" applyAlignment="1">
      <alignment horizontal="center" vertical="center" wrapText="1"/>
    </xf>
    <xf numFmtId="9" fontId="57" fillId="25" borderId="31" xfId="0" applyNumberFormat="1" applyFont="1" applyFill="1" applyBorder="1" applyAlignment="1">
      <alignment horizontal="center" vertical="center" wrapText="1"/>
    </xf>
    <xf numFmtId="9" fontId="57" fillId="25" borderId="51" xfId="0" applyNumberFormat="1" applyFont="1" applyFill="1" applyBorder="1" applyAlignment="1">
      <alignment horizontal="center" vertical="center" wrapText="1"/>
    </xf>
    <xf numFmtId="0" fontId="52" fillId="0" borderId="19" xfId="0" applyFont="1" applyBorder="1" applyAlignment="1">
      <alignment wrapText="1"/>
    </xf>
    <xf numFmtId="9" fontId="32" fillId="0" borderId="118" xfId="0" applyNumberFormat="1" applyFont="1" applyBorder="1" applyAlignment="1">
      <alignment horizontal="center" vertical="center" wrapText="1"/>
    </xf>
    <xf numFmtId="0" fontId="53" fillId="0" borderId="112" xfId="0" applyFont="1" applyBorder="1"/>
    <xf numFmtId="0" fontId="53" fillId="0" borderId="51" xfId="0" applyFont="1" applyBorder="1"/>
    <xf numFmtId="10" fontId="32" fillId="9" borderId="51" xfId="0" applyNumberFormat="1" applyFont="1" applyFill="1" applyBorder="1" applyAlignment="1">
      <alignment vertical="center" wrapText="1"/>
    </xf>
    <xf numFmtId="0" fontId="52" fillId="0" borderId="51" xfId="0" applyFont="1" applyBorder="1" applyAlignment="1">
      <alignment wrapText="1"/>
    </xf>
    <xf numFmtId="0" fontId="52" fillId="0" borderId="15" xfId="0" applyFont="1" applyBorder="1" applyAlignment="1">
      <alignment wrapText="1"/>
    </xf>
    <xf numFmtId="165" fontId="0" fillId="18" borderId="24" xfId="1" applyNumberFormat="1" applyFont="1" applyFill="1" applyBorder="1" applyAlignment="1">
      <alignment horizontal="center" vertical="center"/>
    </xf>
    <xf numFmtId="165" fontId="0" fillId="25" borderId="24" xfId="1" applyNumberFormat="1" applyFont="1" applyFill="1" applyBorder="1" applyAlignment="1">
      <alignment horizontal="center" vertical="center"/>
    </xf>
    <xf numFmtId="0" fontId="72" fillId="0" borderId="3" xfId="0" applyFont="1" applyBorder="1" applyAlignment="1">
      <alignment wrapText="1"/>
    </xf>
    <xf numFmtId="0" fontId="73" fillId="0" borderId="3" xfId="0" applyFont="1" applyBorder="1" applyAlignment="1">
      <alignment wrapText="1"/>
    </xf>
    <xf numFmtId="0" fontId="74" fillId="0" borderId="0" xfId="0" applyFont="1"/>
    <xf numFmtId="0" fontId="72" fillId="0" borderId="27" xfId="0" applyFont="1" applyBorder="1" applyAlignment="1">
      <alignment wrapText="1"/>
    </xf>
    <xf numFmtId="0" fontId="73" fillId="3" borderId="126" xfId="0" applyFont="1" applyFill="1" applyBorder="1" applyAlignment="1">
      <alignment horizontal="center" vertical="center" wrapText="1"/>
    </xf>
    <xf numFmtId="0" fontId="73" fillId="4" borderId="142" xfId="0" applyFont="1" applyFill="1" applyBorder="1" applyAlignment="1">
      <alignment horizontal="center" vertical="center" wrapText="1"/>
    </xf>
    <xf numFmtId="0" fontId="73" fillId="4" borderId="143" xfId="0" applyFont="1" applyFill="1" applyBorder="1" applyAlignment="1">
      <alignment horizontal="center" vertical="center" wrapText="1"/>
    </xf>
    <xf numFmtId="0" fontId="73" fillId="56" borderId="143" xfId="0" applyFont="1" applyFill="1" applyBorder="1" applyAlignment="1">
      <alignment horizontal="center" vertical="center" wrapText="1"/>
    </xf>
    <xf numFmtId="0" fontId="73" fillId="6" borderId="144" xfId="0" applyFont="1" applyFill="1" applyBorder="1" applyAlignment="1">
      <alignment horizontal="center" vertical="center" wrapText="1"/>
    </xf>
    <xf numFmtId="0" fontId="73" fillId="51" borderId="145" xfId="0" applyFont="1" applyFill="1" applyBorder="1" applyAlignment="1">
      <alignment horizontal="center" vertical="center" wrapText="1"/>
    </xf>
    <xf numFmtId="0" fontId="72" fillId="0" borderId="1" xfId="0" applyFont="1" applyBorder="1" applyAlignment="1">
      <alignment wrapText="1"/>
    </xf>
    <xf numFmtId="0" fontId="74" fillId="0" borderId="71" xfId="0" applyFont="1" applyBorder="1"/>
    <xf numFmtId="0" fontId="72" fillId="0" borderId="20" xfId="0" applyFont="1" applyBorder="1" applyAlignment="1">
      <alignment wrapText="1"/>
    </xf>
    <xf numFmtId="0" fontId="72" fillId="0" borderId="22" xfId="0" applyFont="1" applyBorder="1" applyAlignment="1">
      <alignment wrapText="1"/>
    </xf>
    <xf numFmtId="0" fontId="72" fillId="0" borderId="54" xfId="0" applyFont="1" applyBorder="1" applyAlignment="1">
      <alignment vertical="center" wrapText="1"/>
    </xf>
    <xf numFmtId="9" fontId="73" fillId="8" borderId="24" xfId="0" applyNumberFormat="1" applyFont="1" applyFill="1" applyBorder="1" applyAlignment="1">
      <alignment horizontal="center" vertical="center" wrapText="1"/>
    </xf>
    <xf numFmtId="165" fontId="73" fillId="11" borderId="24" xfId="0" applyNumberFormat="1" applyFont="1" applyFill="1" applyBorder="1" applyAlignment="1">
      <alignment horizontal="center" vertical="center" wrapText="1"/>
    </xf>
    <xf numFmtId="165" fontId="73" fillId="34" borderId="24" xfId="0" applyNumberFormat="1" applyFont="1" applyFill="1" applyBorder="1" applyAlignment="1">
      <alignment horizontal="center" vertical="center" wrapText="1"/>
    </xf>
    <xf numFmtId="9" fontId="73" fillId="13" borderId="29" xfId="0" applyNumberFormat="1" applyFont="1" applyFill="1" applyBorder="1" applyAlignment="1">
      <alignment horizontal="center" vertical="center" wrapText="1"/>
    </xf>
    <xf numFmtId="0" fontId="72" fillId="0" borderId="24" xfId="0" applyFont="1" applyBorder="1" applyAlignment="1">
      <alignment wrapText="1"/>
    </xf>
    <xf numFmtId="165" fontId="73" fillId="32" borderId="24" xfId="0" applyNumberFormat="1" applyFont="1" applyFill="1" applyBorder="1" applyAlignment="1">
      <alignment horizontal="center" vertical="center" wrapText="1"/>
    </xf>
    <xf numFmtId="9" fontId="73" fillId="0" borderId="6" xfId="0" applyNumberFormat="1" applyFont="1" applyBorder="1" applyAlignment="1">
      <alignment horizontal="center" vertical="center" wrapText="1"/>
    </xf>
    <xf numFmtId="0" fontId="73" fillId="0" borderId="14" xfId="0" applyFont="1" applyBorder="1" applyAlignment="1">
      <alignment horizontal="center" vertical="center" wrapText="1"/>
    </xf>
    <xf numFmtId="0" fontId="74" fillId="19" borderId="47" xfId="0" applyFont="1" applyFill="1" applyBorder="1" applyAlignment="1">
      <alignment horizontal="center" vertical="center"/>
    </xf>
    <xf numFmtId="0" fontId="74" fillId="19" borderId="24" xfId="0" applyFont="1" applyFill="1" applyBorder="1" applyAlignment="1">
      <alignment horizontal="center" vertical="center"/>
    </xf>
    <xf numFmtId="167" fontId="72" fillId="0" borderId="29" xfId="0" applyNumberFormat="1" applyFont="1" applyBorder="1" applyAlignment="1">
      <alignment horizontal="center" vertical="center" wrapText="1"/>
    </xf>
    <xf numFmtId="167" fontId="72" fillId="0" borderId="14" xfId="0" applyNumberFormat="1" applyFont="1" applyBorder="1" applyAlignment="1">
      <alignment horizontal="center" vertical="center" wrapText="1"/>
    </xf>
    <xf numFmtId="0" fontId="72" fillId="0" borderId="14" xfId="0" applyFont="1" applyBorder="1" applyAlignment="1">
      <alignment horizontal="center" vertical="center" wrapText="1"/>
    </xf>
    <xf numFmtId="0" fontId="72" fillId="21" borderId="14" xfId="0" applyFont="1" applyFill="1" applyBorder="1" applyAlignment="1">
      <alignment horizontal="center" vertical="center" wrapText="1"/>
    </xf>
    <xf numFmtId="165" fontId="72" fillId="0" borderId="45" xfId="0" applyNumberFormat="1" applyFont="1" applyBorder="1" applyAlignment="1">
      <alignment horizontal="center" vertical="center" wrapText="1"/>
    </xf>
    <xf numFmtId="165" fontId="72" fillId="0" borderId="24" xfId="0" applyNumberFormat="1" applyFont="1" applyBorder="1" applyAlignment="1">
      <alignment horizontal="center" vertical="center" wrapText="1"/>
    </xf>
    <xf numFmtId="9" fontId="72" fillId="0" borderId="29" xfId="0" applyNumberFormat="1" applyFont="1" applyBorder="1" applyAlignment="1">
      <alignment horizontal="center" vertical="center" wrapText="1"/>
    </xf>
    <xf numFmtId="9" fontId="72" fillId="0" borderId="14" xfId="0" applyNumberFormat="1" applyFont="1" applyBorder="1" applyAlignment="1">
      <alignment horizontal="center" vertical="center" wrapText="1"/>
    </xf>
    <xf numFmtId="2" fontId="72" fillId="0" borderId="14" xfId="0" applyNumberFormat="1" applyFont="1" applyBorder="1" applyAlignment="1">
      <alignment horizontal="center" vertical="center" wrapText="1"/>
    </xf>
    <xf numFmtId="2" fontId="72" fillId="21" borderId="14" xfId="0" applyNumberFormat="1" applyFont="1" applyFill="1" applyBorder="1" applyAlignment="1">
      <alignment horizontal="center" vertical="center" wrapText="1"/>
    </xf>
    <xf numFmtId="10" fontId="72" fillId="0" borderId="24" xfId="0" applyNumberFormat="1" applyFont="1" applyBorder="1" applyAlignment="1">
      <alignment horizontal="center" vertical="center" wrapText="1"/>
    </xf>
    <xf numFmtId="0" fontId="73" fillId="0" borderId="14" xfId="0" applyFont="1" applyBorder="1" applyAlignment="1">
      <alignment wrapText="1"/>
    </xf>
    <xf numFmtId="0" fontId="72" fillId="0" borderId="45" xfId="0" applyFont="1" applyBorder="1" applyAlignment="1">
      <alignment wrapText="1"/>
    </xf>
    <xf numFmtId="165" fontId="73" fillId="32" borderId="29" xfId="0" applyNumberFormat="1" applyFont="1" applyFill="1" applyBorder="1" applyAlignment="1">
      <alignment horizontal="center" vertical="center" wrapText="1"/>
    </xf>
    <xf numFmtId="165" fontId="73" fillId="32" borderId="14" xfId="0" applyNumberFormat="1" applyFont="1" applyFill="1" applyBorder="1" applyAlignment="1">
      <alignment horizontal="center" vertical="center" wrapText="1"/>
    </xf>
    <xf numFmtId="0" fontId="72" fillId="0" borderId="14" xfId="0" applyFont="1" applyBorder="1" applyAlignment="1">
      <alignment vertical="center" wrapText="1"/>
    </xf>
    <xf numFmtId="0" fontId="72" fillId="0" borderId="45" xfId="0" applyFont="1" applyBorder="1" applyAlignment="1">
      <alignment horizontal="center" vertical="center" wrapText="1"/>
    </xf>
    <xf numFmtId="0" fontId="72" fillId="0" borderId="24" xfId="0" applyFont="1" applyBorder="1" applyAlignment="1">
      <alignment horizontal="center" vertical="center" wrapText="1"/>
    </xf>
    <xf numFmtId="165" fontId="72" fillId="0" borderId="45" xfId="0" applyNumberFormat="1" applyFont="1" applyBorder="1" applyAlignment="1">
      <alignment horizontal="center" wrapText="1"/>
    </xf>
    <xf numFmtId="169" fontId="72" fillId="0" borderId="45" xfId="3" applyNumberFormat="1" applyFont="1" applyBorder="1" applyAlignment="1">
      <alignment horizontal="center" vertical="center" wrapText="1"/>
    </xf>
    <xf numFmtId="169" fontId="72" fillId="0" borderId="24" xfId="3" applyNumberFormat="1" applyFont="1" applyBorder="1" applyAlignment="1">
      <alignment horizontal="center" vertical="center" wrapText="1"/>
    </xf>
    <xf numFmtId="169" fontId="72" fillId="0" borderId="14" xfId="3" applyNumberFormat="1" applyFont="1" applyBorder="1" applyAlignment="1">
      <alignment horizontal="center" vertical="center" wrapText="1"/>
    </xf>
    <xf numFmtId="0" fontId="72" fillId="19" borderId="14" xfId="0" applyFont="1" applyFill="1" applyBorder="1" applyAlignment="1">
      <alignment horizontal="center" vertical="center" wrapText="1"/>
    </xf>
    <xf numFmtId="9" fontId="73" fillId="19" borderId="6" xfId="0" applyNumberFormat="1" applyFont="1" applyFill="1" applyBorder="1" applyAlignment="1">
      <alignment horizontal="center" vertical="center" wrapText="1"/>
    </xf>
    <xf numFmtId="164" fontId="72" fillId="0" borderId="24" xfId="0" applyNumberFormat="1" applyFont="1" applyBorder="1" applyAlignment="1">
      <alignment horizontal="center" vertical="center" wrapText="1"/>
    </xf>
    <xf numFmtId="165" fontId="73" fillId="13" borderId="29" xfId="0" applyNumberFormat="1" applyFont="1" applyFill="1" applyBorder="1" applyAlignment="1">
      <alignment horizontal="center" vertical="center" wrapText="1"/>
    </xf>
    <xf numFmtId="9" fontId="73" fillId="0" borderId="21" xfId="0" applyNumberFormat="1" applyFont="1" applyBorder="1" applyAlignment="1">
      <alignment horizontal="center" vertical="center" wrapText="1"/>
    </xf>
    <xf numFmtId="0" fontId="73" fillId="0" borderId="29" xfId="0" applyFont="1" applyBorder="1" applyAlignment="1">
      <alignment horizontal="center" vertical="center" wrapText="1"/>
    </xf>
    <xf numFmtId="9" fontId="73" fillId="0" borderId="28" xfId="0" applyNumberFormat="1" applyFont="1" applyBorder="1" applyAlignment="1">
      <alignment horizontal="center" vertical="center" wrapText="1"/>
    </xf>
    <xf numFmtId="0" fontId="72" fillId="0" borderId="87" xfId="0" applyFont="1" applyBorder="1" applyAlignment="1">
      <alignment vertical="center" wrapText="1"/>
    </xf>
    <xf numFmtId="9" fontId="73" fillId="8" borderId="29" xfId="0" applyNumberFormat="1" applyFont="1" applyFill="1" applyBorder="1" applyAlignment="1">
      <alignment horizontal="center" vertical="center" wrapText="1"/>
    </xf>
    <xf numFmtId="9" fontId="73" fillId="8" borderId="14" xfId="0" applyNumberFormat="1" applyFont="1" applyFill="1" applyBorder="1" applyAlignment="1">
      <alignment horizontal="center" vertical="center" wrapText="1"/>
    </xf>
    <xf numFmtId="165" fontId="73" fillId="41" borderId="29" xfId="0" applyNumberFormat="1" applyFont="1" applyFill="1" applyBorder="1" applyAlignment="1">
      <alignment horizontal="center" vertical="center" wrapText="1"/>
    </xf>
    <xf numFmtId="165" fontId="73" fillId="11" borderId="14" xfId="0" applyNumberFormat="1" applyFont="1" applyFill="1" applyBorder="1" applyAlignment="1">
      <alignment horizontal="center" vertical="center" wrapText="1"/>
    </xf>
    <xf numFmtId="0" fontId="72" fillId="0" borderId="14" xfId="0" applyFont="1" applyBorder="1" applyAlignment="1">
      <alignment wrapText="1"/>
    </xf>
    <xf numFmtId="165" fontId="73" fillId="34" borderId="45" xfId="0" applyNumberFormat="1" applyFont="1" applyFill="1" applyBorder="1" applyAlignment="1">
      <alignment horizontal="center" vertical="center" wrapText="1"/>
    </xf>
    <xf numFmtId="165" fontId="73" fillId="4" borderId="24" xfId="0" applyNumberFormat="1" applyFont="1" applyFill="1" applyBorder="1" applyAlignment="1">
      <alignment horizontal="center" vertical="center" wrapText="1"/>
    </xf>
    <xf numFmtId="0" fontId="72" fillId="19" borderId="59" xfId="0" applyFont="1" applyFill="1" applyBorder="1" applyAlignment="1">
      <alignment vertical="center" wrapText="1"/>
    </xf>
    <xf numFmtId="0" fontId="72" fillId="0" borderId="55" xfId="0" applyFont="1" applyBorder="1" applyAlignment="1">
      <alignment vertical="center" wrapText="1"/>
    </xf>
    <xf numFmtId="43" fontId="73" fillId="0" borderId="14" xfId="3" applyFont="1" applyBorder="1" applyAlignment="1">
      <alignment horizontal="center" vertical="center" wrapText="1"/>
    </xf>
    <xf numFmtId="165" fontId="72" fillId="0" borderId="14" xfId="1" applyNumberFormat="1" applyFont="1" applyBorder="1" applyAlignment="1">
      <alignment horizontal="center" vertical="center" wrapText="1"/>
    </xf>
    <xf numFmtId="165" fontId="73" fillId="34" borderId="29" xfId="0" applyNumberFormat="1" applyFont="1" applyFill="1" applyBorder="1" applyAlignment="1">
      <alignment horizontal="center" vertical="center" wrapText="1"/>
    </xf>
    <xf numFmtId="165" fontId="73" fillId="36" borderId="14" xfId="0" applyNumberFormat="1" applyFont="1" applyFill="1" applyBorder="1" applyAlignment="1">
      <alignment horizontal="center" vertical="center" wrapText="1"/>
    </xf>
    <xf numFmtId="165" fontId="73" fillId="38" borderId="24" xfId="0" applyNumberFormat="1" applyFont="1" applyFill="1" applyBorder="1" applyAlignment="1">
      <alignment horizontal="center" vertical="center" wrapText="1"/>
    </xf>
    <xf numFmtId="9" fontId="72" fillId="19" borderId="29" xfId="0" applyNumberFormat="1" applyFont="1" applyFill="1" applyBorder="1" applyAlignment="1">
      <alignment horizontal="center" vertical="center" wrapText="1"/>
    </xf>
    <xf numFmtId="9" fontId="72" fillId="19" borderId="14" xfId="0" applyNumberFormat="1" applyFont="1" applyFill="1" applyBorder="1" applyAlignment="1">
      <alignment horizontal="center" vertical="center" wrapText="1"/>
    </xf>
    <xf numFmtId="0" fontId="72" fillId="0" borderId="23" xfId="0" applyFont="1" applyBorder="1" applyAlignment="1">
      <alignment horizontal="center" vertical="center" wrapText="1"/>
    </xf>
    <xf numFmtId="0" fontId="72" fillId="0" borderId="58" xfId="0" applyFont="1" applyBorder="1" applyAlignment="1">
      <alignment vertical="center" wrapText="1"/>
    </xf>
    <xf numFmtId="165" fontId="73" fillId="34" borderId="141" xfId="0" applyNumberFormat="1" applyFont="1" applyFill="1" applyBorder="1" applyAlignment="1">
      <alignment horizontal="center" vertical="center" wrapText="1"/>
    </xf>
    <xf numFmtId="165" fontId="73" fillId="36" borderId="24" xfId="0" applyNumberFormat="1" applyFont="1" applyFill="1" applyBorder="1" applyAlignment="1">
      <alignment horizontal="center" vertical="center" wrapText="1"/>
    </xf>
    <xf numFmtId="165" fontId="73" fillId="32" borderId="45" xfId="0" applyNumberFormat="1" applyFont="1" applyFill="1" applyBorder="1" applyAlignment="1">
      <alignment horizontal="center" vertical="center" wrapText="1"/>
    </xf>
    <xf numFmtId="0" fontId="72" fillId="0" borderId="24" xfId="0" applyFont="1" applyBorder="1" applyAlignment="1">
      <alignment vertical="center" wrapText="1"/>
    </xf>
    <xf numFmtId="9" fontId="72" fillId="0" borderId="0" xfId="0" applyNumberFormat="1" applyFont="1" applyAlignment="1">
      <alignment horizontal="center" vertical="center" wrapText="1"/>
    </xf>
    <xf numFmtId="3" fontId="74" fillId="0" borderId="24" xfId="0" applyNumberFormat="1" applyFont="1" applyBorder="1" applyAlignment="1">
      <alignment horizontal="center" vertical="center" wrapText="1"/>
    </xf>
    <xf numFmtId="165" fontId="72" fillId="0" borderId="141" xfId="0" applyNumberFormat="1" applyFont="1" applyBorder="1" applyAlignment="1">
      <alignment horizontal="center" vertical="center" wrapText="1"/>
    </xf>
    <xf numFmtId="9" fontId="72" fillId="0" borderId="45" xfId="0" applyNumberFormat="1" applyFont="1" applyBorder="1" applyAlignment="1">
      <alignment horizontal="center" vertical="center" wrapText="1"/>
    </xf>
    <xf numFmtId="0" fontId="74" fillId="0" borderId="47" xfId="0" applyFont="1" applyBorder="1" applyAlignment="1">
      <alignment horizontal="center" vertical="center" wrapText="1"/>
    </xf>
    <xf numFmtId="0" fontId="72" fillId="19" borderId="24" xfId="0" applyFont="1" applyFill="1" applyBorder="1" applyAlignment="1">
      <alignment horizontal="center" vertical="center" wrapText="1"/>
    </xf>
    <xf numFmtId="9" fontId="73" fillId="23" borderId="29" xfId="1" applyFont="1" applyFill="1" applyBorder="1" applyAlignment="1">
      <alignment horizontal="center" vertical="center" wrapText="1"/>
    </xf>
    <xf numFmtId="9" fontId="73" fillId="42" borderId="14" xfId="1" applyFont="1" applyFill="1" applyBorder="1" applyAlignment="1">
      <alignment horizontal="center" vertical="center" wrapText="1"/>
    </xf>
    <xf numFmtId="0" fontId="77" fillId="0" borderId="47" xfId="0" applyFont="1" applyBorder="1" applyAlignment="1">
      <alignment horizontal="center" vertical="center" wrapText="1"/>
    </xf>
    <xf numFmtId="0" fontId="77" fillId="0" borderId="24" xfId="0" applyFont="1" applyBorder="1" applyAlignment="1">
      <alignment horizontal="center" vertical="center" wrapText="1"/>
    </xf>
    <xf numFmtId="0" fontId="74" fillId="0" borderId="24" xfId="0" applyFont="1" applyBorder="1" applyAlignment="1">
      <alignment horizontal="center" vertical="center"/>
    </xf>
    <xf numFmtId="9" fontId="72" fillId="0" borderId="88" xfId="0" applyNumberFormat="1" applyFont="1" applyBorder="1" applyAlignment="1">
      <alignment horizontal="center" vertical="center" wrapText="1"/>
    </xf>
    <xf numFmtId="9" fontId="72" fillId="0" borderId="23" xfId="0" applyNumberFormat="1" applyFont="1" applyBorder="1" applyAlignment="1">
      <alignment horizontal="center" vertical="center" wrapText="1"/>
    </xf>
    <xf numFmtId="9" fontId="72" fillId="0" borderId="46" xfId="0" applyNumberFormat="1" applyFont="1" applyBorder="1" applyAlignment="1">
      <alignment horizontal="center" vertical="center" wrapText="1"/>
    </xf>
    <xf numFmtId="9" fontId="72" fillId="0" borderId="141" xfId="0" applyNumberFormat="1" applyFont="1" applyBorder="1" applyAlignment="1">
      <alignment horizontal="center" vertical="center" wrapText="1"/>
    </xf>
    <xf numFmtId="9" fontId="72" fillId="0" borderId="24" xfId="0" applyNumberFormat="1" applyFont="1" applyBorder="1" applyAlignment="1">
      <alignment horizontal="center" vertical="center" wrapText="1"/>
    </xf>
    <xf numFmtId="165" fontId="73" fillId="41" borderId="141" xfId="0" applyNumberFormat="1" applyFont="1" applyFill="1" applyBorder="1" applyAlignment="1">
      <alignment horizontal="center" vertical="center" wrapText="1"/>
    </xf>
    <xf numFmtId="165" fontId="73" fillId="41" borderId="24" xfId="0" applyNumberFormat="1" applyFont="1" applyFill="1" applyBorder="1" applyAlignment="1">
      <alignment horizontal="center" vertical="center" wrapText="1"/>
    </xf>
    <xf numFmtId="0" fontId="72" fillId="19" borderId="24" xfId="0" applyFont="1" applyFill="1" applyBorder="1" applyAlignment="1">
      <alignment wrapText="1"/>
    </xf>
    <xf numFmtId="165" fontId="73" fillId="32" borderId="141" xfId="0" applyNumberFormat="1" applyFont="1" applyFill="1" applyBorder="1" applyAlignment="1">
      <alignment horizontal="center" vertical="center" wrapText="1"/>
    </xf>
    <xf numFmtId="0" fontId="72" fillId="19" borderId="24" xfId="0" applyFont="1" applyFill="1" applyBorder="1" applyAlignment="1">
      <alignment vertical="center" wrapText="1"/>
    </xf>
    <xf numFmtId="0" fontId="78" fillId="19" borderId="24" xfId="0" applyFont="1" applyFill="1" applyBorder="1" applyAlignment="1">
      <alignment horizontal="center" vertical="center" wrapText="1"/>
    </xf>
    <xf numFmtId="0" fontId="72" fillId="19" borderId="47" xfId="0" applyFont="1" applyFill="1" applyBorder="1" applyAlignment="1">
      <alignment horizontal="center" vertical="center" wrapText="1"/>
    </xf>
    <xf numFmtId="9" fontId="72" fillId="0" borderId="140" xfId="0" applyNumberFormat="1" applyFont="1" applyBorder="1" applyAlignment="1">
      <alignment horizontal="center" vertical="center" wrapText="1"/>
    </xf>
    <xf numFmtId="0" fontId="73" fillId="0" borderId="23" xfId="0" applyFont="1" applyBorder="1" applyAlignment="1">
      <alignment horizontal="center" vertical="center" wrapText="1"/>
    </xf>
    <xf numFmtId="165" fontId="72" fillId="0" borderId="146" xfId="0" applyNumberFormat="1" applyFont="1" applyBorder="1" applyAlignment="1">
      <alignment horizontal="center" vertical="center" wrapText="1"/>
    </xf>
    <xf numFmtId="9" fontId="73" fillId="13" borderId="34" xfId="0" applyNumberFormat="1" applyFont="1" applyFill="1" applyBorder="1" applyAlignment="1">
      <alignment horizontal="center" vertical="center" wrapText="1"/>
    </xf>
    <xf numFmtId="0" fontId="73" fillId="0" borderId="24" xfId="0" applyFont="1" applyBorder="1" applyAlignment="1">
      <alignment horizontal="center" vertical="center" wrapText="1"/>
    </xf>
    <xf numFmtId="165" fontId="73" fillId="32" borderId="34" xfId="0" applyNumberFormat="1" applyFont="1" applyFill="1" applyBorder="1" applyAlignment="1">
      <alignment horizontal="center" vertical="center" wrapText="1"/>
    </xf>
    <xf numFmtId="165" fontId="73" fillId="32" borderId="47" xfId="0" applyNumberFormat="1" applyFont="1" applyFill="1" applyBorder="1" applyAlignment="1">
      <alignment horizontal="center" vertical="center" wrapText="1"/>
    </xf>
    <xf numFmtId="9" fontId="72" fillId="0" borderId="34" xfId="0" applyNumberFormat="1" applyFont="1" applyBorder="1" applyAlignment="1">
      <alignment horizontal="center" vertical="center" wrapText="1"/>
    </xf>
    <xf numFmtId="9" fontId="72" fillId="0" borderId="47" xfId="0" applyNumberFormat="1" applyFont="1" applyBorder="1" applyAlignment="1">
      <alignment horizontal="center" vertical="center" wrapText="1"/>
    </xf>
    <xf numFmtId="165" fontId="72" fillId="0" borderId="116" xfId="0" applyNumberFormat="1" applyFont="1" applyBorder="1" applyAlignment="1">
      <alignment horizontal="center" vertical="center" wrapText="1"/>
    </xf>
    <xf numFmtId="0" fontId="73" fillId="0" borderId="20" xfId="0" applyFont="1" applyBorder="1" applyAlignment="1">
      <alignment wrapText="1"/>
    </xf>
    <xf numFmtId="0" fontId="73" fillId="0" borderId="1" xfId="0" applyFont="1" applyBorder="1" applyAlignment="1">
      <alignment wrapText="1"/>
    </xf>
    <xf numFmtId="0" fontId="75" fillId="0" borderId="0" xfId="0" applyFont="1"/>
    <xf numFmtId="164" fontId="57" fillId="0" borderId="1" xfId="0" applyNumberFormat="1" applyFont="1" applyBorder="1" applyAlignment="1">
      <alignment wrapText="1"/>
    </xf>
    <xf numFmtId="0" fontId="57" fillId="0" borderId="2" xfId="0" applyFont="1" applyBorder="1" applyAlignment="1">
      <alignment wrapText="1"/>
    </xf>
    <xf numFmtId="0" fontId="57" fillId="19" borderId="31" xfId="0" applyFont="1" applyFill="1" applyBorder="1" applyAlignment="1">
      <alignment wrapText="1"/>
    </xf>
    <xf numFmtId="0" fontId="57" fillId="0" borderId="49" xfId="0" applyFont="1" applyBorder="1" applyAlignment="1">
      <alignment wrapText="1"/>
    </xf>
    <xf numFmtId="0" fontId="57" fillId="0" borderId="26" xfId="0" applyFont="1" applyBorder="1" applyAlignment="1">
      <alignment vertical="center" wrapText="1"/>
    </xf>
    <xf numFmtId="0" fontId="57" fillId="0" borderId="6" xfId="0" applyFont="1" applyBorder="1" applyAlignment="1">
      <alignment vertical="center" wrapText="1"/>
    </xf>
    <xf numFmtId="0" fontId="57" fillId="0" borderId="9" xfId="0" applyFont="1" applyBorder="1" applyAlignment="1">
      <alignment vertical="center" wrapText="1"/>
    </xf>
    <xf numFmtId="0" fontId="57" fillId="0" borderId="6" xfId="0" applyFont="1" applyBorder="1" applyAlignment="1">
      <alignment wrapText="1"/>
    </xf>
    <xf numFmtId="0" fontId="57" fillId="0" borderId="10" xfId="0" applyFont="1" applyBorder="1" applyAlignment="1">
      <alignment wrapText="1"/>
    </xf>
    <xf numFmtId="0" fontId="57" fillId="0" borderId="11" xfId="0" applyFont="1" applyBorder="1" applyAlignment="1">
      <alignment wrapText="1"/>
    </xf>
    <xf numFmtId="0" fontId="57" fillId="18" borderId="10" xfId="0" applyFont="1" applyFill="1" applyBorder="1" applyAlignment="1">
      <alignment wrapText="1"/>
    </xf>
    <xf numFmtId="0" fontId="57" fillId="0" borderId="10" xfId="0" applyFont="1" applyBorder="1" applyAlignment="1">
      <alignment vertical="center" wrapText="1"/>
    </xf>
    <xf numFmtId="0" fontId="57" fillId="19" borderId="10" xfId="0" applyFont="1" applyFill="1" applyBorder="1" applyAlignment="1">
      <alignment wrapText="1"/>
    </xf>
    <xf numFmtId="0" fontId="76" fillId="12" borderId="8" xfId="0" applyFont="1" applyFill="1" applyBorder="1" applyAlignment="1">
      <alignment vertical="center" wrapText="1"/>
    </xf>
    <xf numFmtId="0" fontId="76" fillId="12" borderId="9" xfId="0" applyFont="1" applyFill="1" applyBorder="1" applyAlignment="1">
      <alignment vertical="center" wrapText="1"/>
    </xf>
    <xf numFmtId="0" fontId="72" fillId="30" borderId="10" xfId="0" applyFont="1" applyFill="1" applyBorder="1" applyAlignment="1">
      <alignment vertical="center" wrapText="1"/>
    </xf>
    <xf numFmtId="0" fontId="72" fillId="0" borderId="1" xfId="0" applyFont="1" applyBorder="1" applyAlignment="1">
      <alignment horizontal="right" wrapText="1"/>
    </xf>
    <xf numFmtId="0" fontId="73" fillId="0" borderId="3" xfId="0" applyFont="1" applyBorder="1" applyAlignment="1">
      <alignment horizontal="center" wrapText="1"/>
    </xf>
    <xf numFmtId="10" fontId="72" fillId="0" borderId="3" xfId="1" applyNumberFormat="1" applyFont="1" applyBorder="1" applyAlignment="1">
      <alignment wrapText="1"/>
    </xf>
    <xf numFmtId="0" fontId="73" fillId="4" borderId="25" xfId="0" applyFont="1" applyFill="1" applyBorder="1" applyAlignment="1">
      <alignment horizontal="center" vertical="center" wrapText="1"/>
    </xf>
    <xf numFmtId="0" fontId="73" fillId="54" borderId="25" xfId="0" applyFont="1" applyFill="1" applyBorder="1" applyAlignment="1">
      <alignment horizontal="center" vertical="center" wrapText="1"/>
    </xf>
    <xf numFmtId="9" fontId="73" fillId="0" borderId="119" xfId="0" applyNumberFormat="1" applyFont="1" applyBorder="1" applyAlignment="1">
      <alignment horizontal="center" vertical="center" wrapText="1"/>
    </xf>
    <xf numFmtId="0" fontId="74" fillId="0" borderId="38" xfId="0" applyFont="1" applyBorder="1"/>
    <xf numFmtId="0" fontId="74" fillId="0" borderId="44" xfId="0" applyFont="1" applyBorder="1"/>
    <xf numFmtId="165" fontId="73" fillId="9" borderId="26" xfId="0" applyNumberFormat="1" applyFont="1" applyFill="1" applyBorder="1" applyAlignment="1">
      <alignment horizontal="center" vertical="center" wrapText="1"/>
    </xf>
    <xf numFmtId="165" fontId="73" fillId="6" borderId="26" xfId="0" applyNumberFormat="1" applyFont="1" applyFill="1" applyBorder="1" applyAlignment="1">
      <alignment horizontal="center" vertical="center" wrapText="1"/>
    </xf>
    <xf numFmtId="0" fontId="72" fillId="0" borderId="41" xfId="0" applyFont="1" applyBorder="1" applyAlignment="1">
      <alignment vertical="center" wrapText="1"/>
    </xf>
    <xf numFmtId="10" fontId="73" fillId="8" borderId="13" xfId="0" applyNumberFormat="1" applyFont="1" applyFill="1" applyBorder="1" applyAlignment="1">
      <alignment horizontal="center" vertical="center" wrapText="1"/>
    </xf>
    <xf numFmtId="10" fontId="73" fillId="8" borderId="25" xfId="0" applyNumberFormat="1" applyFont="1" applyFill="1" applyBorder="1" applyAlignment="1">
      <alignment horizontal="center" vertical="center" wrapText="1"/>
    </xf>
    <xf numFmtId="165" fontId="73" fillId="34" borderId="9" xfId="0" applyNumberFormat="1" applyFont="1" applyFill="1" applyBorder="1" applyAlignment="1">
      <alignment horizontal="center" vertical="center" wrapText="1"/>
    </xf>
    <xf numFmtId="165" fontId="73" fillId="11" borderId="9" xfId="0" applyNumberFormat="1" applyFont="1" applyFill="1" applyBorder="1" applyAlignment="1">
      <alignment horizontal="center" vertical="center" wrapText="1"/>
    </xf>
    <xf numFmtId="10" fontId="72" fillId="0" borderId="26" xfId="0" applyNumberFormat="1" applyFont="1" applyBorder="1" applyAlignment="1">
      <alignment vertical="center" wrapText="1"/>
    </xf>
    <xf numFmtId="9" fontId="73" fillId="13" borderId="9" xfId="0" applyNumberFormat="1" applyFont="1" applyFill="1" applyBorder="1" applyAlignment="1">
      <alignment horizontal="center" vertical="center" wrapText="1"/>
    </xf>
    <xf numFmtId="0" fontId="72" fillId="0" borderId="26" xfId="0" applyFont="1" applyBorder="1" applyAlignment="1">
      <alignment vertical="center" wrapText="1"/>
    </xf>
    <xf numFmtId="165" fontId="73" fillId="32" borderId="9" xfId="0" applyNumberFormat="1" applyFont="1" applyFill="1" applyBorder="1" applyAlignment="1">
      <alignment horizontal="center" vertical="center" wrapText="1"/>
    </xf>
    <xf numFmtId="0" fontId="72" fillId="0" borderId="6" xfId="0" applyFont="1" applyBorder="1" applyAlignment="1">
      <alignment vertical="center" wrapText="1"/>
    </xf>
    <xf numFmtId="0" fontId="73" fillId="0" borderId="6" xfId="0" applyFont="1" applyBorder="1" applyAlignment="1">
      <alignment horizontal="center" vertical="center" wrapText="1"/>
    </xf>
    <xf numFmtId="0" fontId="72" fillId="0" borderId="6" xfId="0" applyFont="1" applyBorder="1" applyAlignment="1">
      <alignment horizontal="center" vertical="center" wrapText="1"/>
    </xf>
    <xf numFmtId="0" fontId="72" fillId="0" borderId="9" xfId="0" applyFont="1" applyBorder="1" applyAlignment="1">
      <alignment horizontal="center" vertical="center" wrapText="1"/>
    </xf>
    <xf numFmtId="9" fontId="72" fillId="0" borderId="6" xfId="0" applyNumberFormat="1" applyFont="1" applyBorder="1" applyAlignment="1">
      <alignment horizontal="center" vertical="center" wrapText="1"/>
    </xf>
    <xf numFmtId="9" fontId="73" fillId="11" borderId="9" xfId="0" applyNumberFormat="1" applyFont="1" applyFill="1" applyBorder="1" applyAlignment="1">
      <alignment horizontal="center" vertical="center" wrapText="1"/>
    </xf>
    <xf numFmtId="0" fontId="72" fillId="0" borderId="9" xfId="0" applyFont="1" applyBorder="1" applyAlignment="1">
      <alignment vertical="center" wrapText="1"/>
    </xf>
    <xf numFmtId="9" fontId="72" fillId="0" borderId="9" xfId="0" applyNumberFormat="1" applyFont="1" applyBorder="1" applyAlignment="1">
      <alignment horizontal="center" vertical="center" wrapText="1"/>
    </xf>
    <xf numFmtId="3" fontId="73" fillId="0" borderId="6" xfId="0" applyNumberFormat="1" applyFont="1" applyBorder="1" applyAlignment="1">
      <alignment horizontal="center" vertical="center" wrapText="1"/>
    </xf>
    <xf numFmtId="10" fontId="73" fillId="8" borderId="9" xfId="0" applyNumberFormat="1" applyFont="1" applyFill="1" applyBorder="1" applyAlignment="1">
      <alignment horizontal="center" vertical="center" wrapText="1"/>
    </xf>
    <xf numFmtId="9" fontId="72" fillId="0" borderId="6" xfId="1" applyFont="1" applyBorder="1" applyAlignment="1">
      <alignment horizontal="center" vertical="center" wrapText="1"/>
    </xf>
    <xf numFmtId="9" fontId="72" fillId="0" borderId="21" xfId="0" applyNumberFormat="1" applyFont="1" applyBorder="1" applyAlignment="1">
      <alignment horizontal="center" vertical="center" wrapText="1"/>
    </xf>
    <xf numFmtId="0" fontId="72" fillId="0" borderId="21" xfId="0" applyFont="1" applyBorder="1" applyAlignment="1">
      <alignment horizontal="center" vertical="center" wrapText="1"/>
    </xf>
    <xf numFmtId="0" fontId="72" fillId="0" borderId="13" xfId="0" applyFont="1" applyBorder="1" applyAlignment="1">
      <alignment horizontal="center" vertical="center" wrapText="1"/>
    </xf>
    <xf numFmtId="9" fontId="72" fillId="0" borderId="83" xfId="0" applyNumberFormat="1" applyFont="1" applyBorder="1" applyAlignment="1">
      <alignment horizontal="center" vertical="center" wrapText="1"/>
    </xf>
    <xf numFmtId="9" fontId="72" fillId="0" borderId="89" xfId="0" applyNumberFormat="1" applyFont="1" applyBorder="1" applyAlignment="1">
      <alignment horizontal="center" vertical="center" wrapText="1"/>
    </xf>
    <xf numFmtId="0" fontId="72" fillId="0" borderId="89" xfId="0" applyFont="1" applyBorder="1" applyAlignment="1">
      <alignment horizontal="center" vertical="center" wrapText="1"/>
    </xf>
    <xf numFmtId="9" fontId="72" fillId="0" borderId="132" xfId="0" applyNumberFormat="1" applyFont="1" applyBorder="1" applyAlignment="1">
      <alignment horizontal="center" vertical="center" wrapText="1"/>
    </xf>
    <xf numFmtId="0" fontId="72" fillId="0" borderId="50" xfId="0" applyFont="1" applyBorder="1" applyAlignment="1">
      <alignment horizontal="center" vertical="center" wrapText="1"/>
    </xf>
    <xf numFmtId="165" fontId="73" fillId="32" borderId="132" xfId="0" applyNumberFormat="1" applyFont="1" applyFill="1" applyBorder="1" applyAlignment="1">
      <alignment horizontal="center" vertical="center" wrapText="1"/>
    </xf>
    <xf numFmtId="165" fontId="73" fillId="32" borderId="13" xfId="0" applyNumberFormat="1" applyFont="1" applyFill="1" applyBorder="1" applyAlignment="1">
      <alignment horizontal="center" vertical="center" wrapText="1"/>
    </xf>
    <xf numFmtId="165" fontId="73" fillId="32" borderId="73" xfId="0" applyNumberFormat="1" applyFont="1" applyFill="1" applyBorder="1" applyAlignment="1">
      <alignment horizontal="center" vertical="center" wrapText="1"/>
    </xf>
    <xf numFmtId="165" fontId="73" fillId="32" borderId="43" xfId="0" applyNumberFormat="1" applyFont="1" applyFill="1" applyBorder="1" applyAlignment="1">
      <alignment horizontal="center" vertical="center" wrapText="1"/>
    </xf>
    <xf numFmtId="0" fontId="72" fillId="0" borderId="52" xfId="0" applyFont="1" applyBorder="1" applyAlignment="1">
      <alignment vertical="center" wrapText="1"/>
    </xf>
    <xf numFmtId="9" fontId="72" fillId="0" borderId="13" xfId="0" applyNumberFormat="1" applyFont="1" applyBorder="1" applyAlignment="1">
      <alignment horizontal="center" vertical="center" wrapText="1"/>
    </xf>
    <xf numFmtId="9" fontId="72" fillId="0" borderId="114" xfId="0" applyNumberFormat="1" applyFont="1" applyBorder="1" applyAlignment="1">
      <alignment horizontal="center" vertical="center" wrapText="1"/>
    </xf>
    <xf numFmtId="9" fontId="72" fillId="0" borderId="25" xfId="0" applyNumberFormat="1" applyFont="1" applyBorder="1" applyAlignment="1">
      <alignment horizontal="center" vertical="center" wrapText="1"/>
    </xf>
    <xf numFmtId="0" fontId="74" fillId="0" borderId="135" xfId="0" applyFont="1" applyBorder="1" applyAlignment="1">
      <alignment horizontal="center" vertical="center" wrapText="1"/>
    </xf>
    <xf numFmtId="0" fontId="74" fillId="0" borderId="25" xfId="0" applyFont="1" applyBorder="1" applyAlignment="1">
      <alignment horizontal="center" vertical="center" wrapText="1"/>
    </xf>
    <xf numFmtId="0" fontId="74" fillId="0" borderId="40" xfId="0" applyFont="1" applyBorder="1" applyAlignment="1">
      <alignment horizontal="center" vertical="center" wrapText="1"/>
    </xf>
    <xf numFmtId="9" fontId="72" fillId="0" borderId="115" xfId="0" applyNumberFormat="1" applyFont="1" applyBorder="1" applyAlignment="1">
      <alignment horizontal="center" vertical="center" wrapText="1"/>
    </xf>
    <xf numFmtId="0" fontId="72" fillId="0" borderId="13" xfId="0" applyFont="1" applyBorder="1" applyAlignment="1">
      <alignment vertical="center" wrapText="1"/>
    </xf>
    <xf numFmtId="165" fontId="73" fillId="32" borderId="26" xfId="0" applyNumberFormat="1" applyFont="1" applyFill="1" applyBorder="1" applyAlignment="1">
      <alignment horizontal="center" vertical="center" wrapText="1"/>
    </xf>
    <xf numFmtId="165" fontId="72" fillId="0" borderId="6" xfId="1" applyNumberFormat="1" applyFont="1" applyBorder="1" applyAlignment="1">
      <alignment vertical="center" wrapText="1"/>
    </xf>
    <xf numFmtId="165" fontId="72" fillId="0" borderId="13" xfId="1" applyNumberFormat="1" applyFont="1" applyBorder="1" applyAlignment="1">
      <alignment vertical="center" wrapText="1"/>
    </xf>
    <xf numFmtId="10" fontId="73" fillId="32" borderId="9" xfId="0" applyNumberFormat="1" applyFont="1" applyFill="1" applyBorder="1" applyAlignment="1">
      <alignment horizontal="center" vertical="center" wrapText="1"/>
    </xf>
    <xf numFmtId="165" fontId="73" fillId="0" borderId="6" xfId="0" applyNumberFormat="1" applyFont="1" applyBorder="1" applyAlignment="1">
      <alignment horizontal="center" vertical="center" wrapText="1"/>
    </xf>
    <xf numFmtId="0" fontId="73" fillId="19" borderId="6" xfId="0" applyFont="1" applyFill="1" applyBorder="1" applyAlignment="1">
      <alignment horizontal="center" vertical="center" wrapText="1"/>
    </xf>
    <xf numFmtId="168" fontId="72" fillId="0" borderId="6" xfId="0" applyNumberFormat="1" applyFont="1" applyBorder="1" applyAlignment="1">
      <alignment horizontal="center" vertical="center" wrapText="1"/>
    </xf>
    <xf numFmtId="168" fontId="72" fillId="0" borderId="13" xfId="0" applyNumberFormat="1" applyFont="1" applyBorder="1" applyAlignment="1">
      <alignment horizontal="center" vertical="center" wrapText="1"/>
    </xf>
    <xf numFmtId="167" fontId="72" fillId="0" borderId="9" xfId="0" applyNumberFormat="1" applyFont="1" applyBorder="1" applyAlignment="1">
      <alignment horizontal="center" vertical="center" wrapText="1"/>
    </xf>
    <xf numFmtId="165" fontId="72" fillId="0" borderId="9" xfId="0" applyNumberFormat="1" applyFont="1" applyBorder="1" applyAlignment="1">
      <alignment horizontal="center" vertical="center" wrapText="1"/>
    </xf>
    <xf numFmtId="9" fontId="72" fillId="0" borderId="133" xfId="0" applyNumberFormat="1" applyFont="1" applyBorder="1" applyAlignment="1">
      <alignment horizontal="center" vertical="center" wrapText="1"/>
    </xf>
    <xf numFmtId="9" fontId="72" fillId="0" borderId="134" xfId="0" applyNumberFormat="1" applyFont="1" applyBorder="1" applyAlignment="1">
      <alignment horizontal="center" vertical="center" wrapText="1"/>
    </xf>
    <xf numFmtId="0" fontId="72" fillId="0" borderId="134" xfId="0" applyFont="1" applyBorder="1" applyAlignment="1">
      <alignment horizontal="center" vertical="center" wrapText="1"/>
    </xf>
    <xf numFmtId="9" fontId="72" fillId="0" borderId="26" xfId="0" applyNumberFormat="1" applyFont="1" applyBorder="1" applyAlignment="1">
      <alignment horizontal="center" vertical="center" wrapText="1"/>
    </xf>
    <xf numFmtId="0" fontId="72" fillId="0" borderId="26" xfId="0" applyFont="1" applyBorder="1" applyAlignment="1">
      <alignment horizontal="center" vertical="center" wrapText="1"/>
    </xf>
    <xf numFmtId="167" fontId="72" fillId="0" borderId="6" xfId="0" applyNumberFormat="1" applyFont="1" applyBorder="1" applyAlignment="1">
      <alignment horizontal="center" vertical="center" wrapText="1"/>
    </xf>
    <xf numFmtId="0" fontId="72" fillId="0" borderId="21" xfId="0" applyFont="1" applyBorder="1" applyAlignment="1">
      <alignment vertical="center" wrapText="1"/>
    </xf>
    <xf numFmtId="0" fontId="74" fillId="19" borderId="25" xfId="2" applyFont="1" applyFill="1" applyBorder="1" applyAlignment="1">
      <alignment horizontal="center" vertical="center"/>
    </xf>
    <xf numFmtId="10" fontId="72" fillId="0" borderId="6" xfId="0" applyNumberFormat="1" applyFont="1" applyBorder="1" applyAlignment="1">
      <alignment horizontal="center" vertical="center" wrapText="1"/>
    </xf>
    <xf numFmtId="10" fontId="72" fillId="0" borderId="9" xfId="0" applyNumberFormat="1" applyFont="1" applyBorder="1" applyAlignment="1">
      <alignment horizontal="center" vertical="center" wrapText="1"/>
    </xf>
    <xf numFmtId="10" fontId="73" fillId="0" borderId="6" xfId="0" applyNumberFormat="1" applyFont="1" applyBorder="1" applyAlignment="1">
      <alignment horizontal="center" vertical="center" wrapText="1"/>
    </xf>
    <xf numFmtId="170" fontId="72" fillId="0" borderId="6" xfId="0" applyNumberFormat="1" applyFont="1" applyBorder="1" applyAlignment="1">
      <alignment horizontal="center" vertical="center" wrapText="1"/>
    </xf>
    <xf numFmtId="165" fontId="73" fillId="38" borderId="9" xfId="0" applyNumberFormat="1" applyFont="1" applyFill="1" applyBorder="1" applyAlignment="1">
      <alignment horizontal="center" vertical="center" wrapText="1"/>
    </xf>
    <xf numFmtId="0" fontId="73" fillId="0" borderId="9" xfId="0" applyFont="1" applyBorder="1" applyAlignment="1">
      <alignment horizontal="center" vertical="center" wrapText="1"/>
    </xf>
    <xf numFmtId="165" fontId="72" fillId="0" borderId="6" xfId="0" applyNumberFormat="1" applyFont="1" applyBorder="1" applyAlignment="1">
      <alignment horizontal="center" vertical="center" wrapText="1"/>
    </xf>
    <xf numFmtId="0" fontId="73" fillId="0" borderId="1" xfId="0" applyFont="1" applyBorder="1" applyAlignment="1">
      <alignment horizontal="center" wrapText="1"/>
    </xf>
    <xf numFmtId="0" fontId="73" fillId="0" borderId="0" xfId="0" applyFont="1" applyAlignment="1">
      <alignment horizontal="center"/>
    </xf>
    <xf numFmtId="10" fontId="72" fillId="0" borderId="3" xfId="0" applyNumberFormat="1" applyFont="1" applyBorder="1" applyAlignment="1">
      <alignment wrapText="1"/>
    </xf>
    <xf numFmtId="0" fontId="73" fillId="4" borderId="9" xfId="0" applyFont="1" applyFill="1" applyBorder="1" applyAlignment="1">
      <alignment horizontal="center" vertical="center" wrapText="1"/>
    </xf>
    <xf numFmtId="0" fontId="72" fillId="0" borderId="28" xfId="0" applyFont="1" applyBorder="1" applyAlignment="1">
      <alignment vertical="center" wrapText="1"/>
    </xf>
    <xf numFmtId="165" fontId="72" fillId="4" borderId="9" xfId="0" applyNumberFormat="1" applyFont="1" applyFill="1" applyBorder="1" applyAlignment="1">
      <alignment horizontal="center" vertical="center" wrapText="1"/>
    </xf>
    <xf numFmtId="0" fontId="72" fillId="21" borderId="9" xfId="0" applyFont="1" applyFill="1" applyBorder="1" applyAlignment="1">
      <alignment horizontal="center" vertical="center" wrapText="1"/>
    </xf>
    <xf numFmtId="0" fontId="72" fillId="19" borderId="9" xfId="0" applyFont="1" applyFill="1" applyBorder="1" applyAlignment="1">
      <alignment horizontal="center" vertical="center" wrapText="1"/>
    </xf>
    <xf numFmtId="165" fontId="73" fillId="4" borderId="9" xfId="0" applyNumberFormat="1" applyFont="1" applyFill="1" applyBorder="1" applyAlignment="1">
      <alignment horizontal="center" vertical="center" wrapText="1"/>
    </xf>
    <xf numFmtId="0" fontId="72" fillId="21" borderId="21" xfId="0" applyFont="1" applyFill="1" applyBorder="1" applyAlignment="1">
      <alignment horizontal="center" vertical="center" wrapText="1"/>
    </xf>
    <xf numFmtId="0" fontId="72" fillId="21" borderId="25" xfId="0" applyFont="1" applyFill="1" applyBorder="1" applyAlignment="1">
      <alignment horizontal="center" vertical="center" wrapText="1"/>
    </xf>
    <xf numFmtId="0" fontId="72" fillId="0" borderId="25" xfId="0" applyFont="1" applyBorder="1" applyAlignment="1">
      <alignment horizontal="center" vertical="center" wrapText="1"/>
    </xf>
    <xf numFmtId="0" fontId="72" fillId="0" borderId="25" xfId="0" applyFont="1" applyBorder="1" applyAlignment="1">
      <alignment vertical="center" wrapText="1"/>
    </xf>
    <xf numFmtId="0" fontId="72" fillId="0" borderId="0" xfId="0" applyFont="1" applyAlignment="1">
      <alignment vertical="center" wrapText="1"/>
    </xf>
    <xf numFmtId="0" fontId="74" fillId="0" borderId="41" xfId="0" applyFont="1" applyBorder="1" applyAlignment="1">
      <alignment horizontal="center" vertical="center" wrapText="1"/>
    </xf>
    <xf numFmtId="0" fontId="72" fillId="0" borderId="54" xfId="0" applyFont="1" applyBorder="1" applyAlignment="1">
      <alignment horizontal="center" vertical="center" wrapText="1"/>
    </xf>
    <xf numFmtId="170" fontId="72" fillId="0" borderId="9" xfId="0" applyNumberFormat="1" applyFont="1" applyBorder="1" applyAlignment="1">
      <alignment horizontal="center" vertical="center" wrapText="1"/>
    </xf>
    <xf numFmtId="0" fontId="72" fillId="0" borderId="17" xfId="0" applyFont="1" applyBorder="1" applyAlignment="1">
      <alignment wrapText="1"/>
    </xf>
    <xf numFmtId="165" fontId="73" fillId="11" borderId="13" xfId="0" applyNumberFormat="1" applyFont="1" applyFill="1" applyBorder="1" applyAlignment="1">
      <alignment horizontal="center" vertical="center" wrapText="1"/>
    </xf>
    <xf numFmtId="165" fontId="73" fillId="34" borderId="114" xfId="0" applyNumberFormat="1" applyFont="1" applyFill="1" applyBorder="1" applyAlignment="1">
      <alignment horizontal="center" vertical="center" wrapText="1"/>
    </xf>
    <xf numFmtId="165" fontId="73" fillId="32" borderId="114" xfId="0" applyNumberFormat="1" applyFont="1" applyFill="1" applyBorder="1" applyAlignment="1">
      <alignment horizontal="center" vertical="center" wrapText="1"/>
    </xf>
    <xf numFmtId="165" fontId="73" fillId="32" borderId="18" xfId="0" applyNumberFormat="1" applyFont="1" applyFill="1" applyBorder="1" applyAlignment="1">
      <alignment horizontal="center" vertical="center" wrapText="1"/>
    </xf>
    <xf numFmtId="165" fontId="73" fillId="32" borderId="77" xfId="0" applyNumberFormat="1" applyFont="1" applyFill="1" applyBorder="1" applyAlignment="1">
      <alignment horizontal="center" vertical="center" wrapText="1"/>
    </xf>
    <xf numFmtId="165" fontId="73" fillId="34" borderId="13" xfId="0" applyNumberFormat="1" applyFont="1" applyFill="1" applyBorder="1" applyAlignment="1">
      <alignment horizontal="center" vertical="center" wrapText="1"/>
    </xf>
    <xf numFmtId="165" fontId="72" fillId="0" borderId="13" xfId="0" applyNumberFormat="1" applyFont="1" applyBorder="1" applyAlignment="1">
      <alignment horizontal="center" vertical="center" wrapText="1"/>
    </xf>
    <xf numFmtId="165" fontId="72" fillId="0" borderId="114" xfId="0" applyNumberFormat="1" applyFont="1" applyBorder="1" applyAlignment="1">
      <alignment horizontal="center" vertical="center" wrapText="1"/>
    </xf>
    <xf numFmtId="165" fontId="72" fillId="0" borderId="138" xfId="0" applyNumberFormat="1" applyFont="1" applyBorder="1" applyAlignment="1">
      <alignment horizontal="center" vertical="center" wrapText="1"/>
    </xf>
    <xf numFmtId="165" fontId="73" fillId="4" borderId="13" xfId="0" applyNumberFormat="1" applyFont="1" applyFill="1" applyBorder="1" applyAlignment="1">
      <alignment horizontal="center" vertical="center" wrapText="1"/>
    </xf>
    <xf numFmtId="165" fontId="73" fillId="32" borderId="25" xfId="0" applyNumberFormat="1" applyFont="1" applyFill="1" applyBorder="1" applyAlignment="1">
      <alignment horizontal="center" vertical="center" wrapText="1"/>
    </xf>
    <xf numFmtId="9" fontId="72" fillId="0" borderId="77" xfId="0" applyNumberFormat="1" applyFont="1" applyBorder="1" applyAlignment="1">
      <alignment horizontal="center" vertical="center" wrapText="1"/>
    </xf>
    <xf numFmtId="9" fontId="72" fillId="0" borderId="138" xfId="0" applyNumberFormat="1" applyFont="1" applyBorder="1" applyAlignment="1">
      <alignment horizontal="center" vertical="center" wrapText="1"/>
    </xf>
    <xf numFmtId="165" fontId="72" fillId="0" borderId="77"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165" fontId="73" fillId="36" borderId="13" xfId="0" applyNumberFormat="1" applyFont="1" applyFill="1" applyBorder="1" applyAlignment="1">
      <alignment horizontal="center" vertical="center" wrapText="1"/>
    </xf>
    <xf numFmtId="165" fontId="73" fillId="34" borderId="25" xfId="0" applyNumberFormat="1" applyFont="1" applyFill="1" applyBorder="1" applyAlignment="1">
      <alignment horizontal="center" vertical="center" wrapText="1"/>
    </xf>
    <xf numFmtId="9" fontId="72" fillId="0" borderId="76" xfId="0" applyNumberFormat="1" applyFont="1" applyBorder="1" applyAlignment="1">
      <alignment horizontal="center" vertical="center" wrapText="1"/>
    </xf>
    <xf numFmtId="0" fontId="72" fillId="0" borderId="3" xfId="0" applyFont="1" applyBorder="1" applyAlignment="1">
      <alignment horizontal="center" wrapText="1"/>
    </xf>
    <xf numFmtId="0" fontId="72" fillId="0" borderId="14" xfId="0" applyFont="1" applyBorder="1" applyAlignment="1">
      <alignment horizontal="center" wrapText="1"/>
    </xf>
    <xf numFmtId="0" fontId="72" fillId="0" borderId="24" xfId="0" applyFont="1" applyBorder="1" applyAlignment="1">
      <alignment horizontal="center" wrapText="1"/>
    </xf>
    <xf numFmtId="0" fontId="72" fillId="19" borderId="24" xfId="0" applyFont="1" applyFill="1" applyBorder="1" applyAlignment="1">
      <alignment horizontal="center" wrapText="1"/>
    </xf>
    <xf numFmtId="0" fontId="72" fillId="0" borderId="20" xfId="0" applyFont="1" applyBorder="1" applyAlignment="1">
      <alignment horizontal="center" wrapText="1"/>
    </xf>
    <xf numFmtId="0" fontId="72" fillId="0" borderId="1" xfId="0" applyFont="1" applyBorder="1" applyAlignment="1">
      <alignment horizontal="center" wrapText="1"/>
    </xf>
    <xf numFmtId="0" fontId="74" fillId="0" borderId="0" xfId="0" applyFont="1" applyAlignment="1">
      <alignment horizontal="center"/>
    </xf>
    <xf numFmtId="165" fontId="73" fillId="4" borderId="45" xfId="0" applyNumberFormat="1" applyFont="1" applyFill="1" applyBorder="1" applyAlignment="1">
      <alignment horizontal="center" vertical="center" wrapText="1"/>
    </xf>
    <xf numFmtId="0" fontId="72" fillId="21" borderId="23" xfId="0" applyFont="1" applyFill="1" applyBorder="1" applyAlignment="1">
      <alignment horizontal="center" vertical="center" wrapText="1"/>
    </xf>
    <xf numFmtId="165" fontId="72" fillId="19" borderId="24" xfId="0" applyNumberFormat="1" applyFont="1" applyFill="1" applyBorder="1" applyAlignment="1">
      <alignment horizontal="center" vertical="center" wrapText="1"/>
    </xf>
    <xf numFmtId="165" fontId="73" fillId="4" borderId="141" xfId="0" applyNumberFormat="1" applyFont="1" applyFill="1" applyBorder="1" applyAlignment="1">
      <alignment horizontal="center" vertical="center" wrapText="1"/>
    </xf>
    <xf numFmtId="165" fontId="73" fillId="32" borderId="23" xfId="0" applyNumberFormat="1" applyFont="1" applyFill="1" applyBorder="1" applyAlignment="1">
      <alignment horizontal="center" vertical="center" wrapText="1"/>
    </xf>
    <xf numFmtId="9" fontId="72" fillId="0" borderId="139" xfId="0" applyNumberFormat="1" applyFont="1" applyBorder="1" applyAlignment="1">
      <alignment horizontal="center" vertical="center" wrapText="1"/>
    </xf>
    <xf numFmtId="165" fontId="72" fillId="0" borderId="147" xfId="0" applyNumberFormat="1" applyFont="1" applyBorder="1" applyAlignment="1">
      <alignment horizontal="center" vertical="center" wrapText="1"/>
    </xf>
    <xf numFmtId="165" fontId="73" fillId="4" borderId="116" xfId="0" applyNumberFormat="1" applyFont="1" applyFill="1" applyBorder="1" applyAlignment="1">
      <alignment horizontal="center" vertical="center" wrapText="1"/>
    </xf>
    <xf numFmtId="0" fontId="72" fillId="21" borderId="24" xfId="0" applyFont="1" applyFill="1" applyBorder="1" applyAlignment="1">
      <alignment horizontal="center" vertical="center" wrapText="1"/>
    </xf>
    <xf numFmtId="0" fontId="74" fillId="21" borderId="24" xfId="0" applyFont="1" applyFill="1" applyBorder="1" applyAlignment="1">
      <alignment horizontal="center" vertical="center"/>
    </xf>
    <xf numFmtId="0" fontId="77" fillId="21" borderId="24" xfId="0" applyFont="1" applyFill="1" applyBorder="1" applyAlignment="1">
      <alignment horizontal="center" vertical="center" wrapText="1"/>
    </xf>
    <xf numFmtId="0" fontId="78" fillId="21" borderId="24" xfId="0" applyFont="1" applyFill="1" applyBorder="1" applyAlignment="1">
      <alignment horizontal="center" vertical="center" wrapText="1"/>
    </xf>
    <xf numFmtId="165" fontId="63" fillId="9" borderId="24" xfId="0" applyNumberFormat="1" applyFont="1" applyFill="1" applyBorder="1" applyAlignment="1">
      <alignment horizontal="center" vertical="center" wrapText="1"/>
    </xf>
    <xf numFmtId="165" fontId="63" fillId="6" borderId="24" xfId="0" applyNumberFormat="1" applyFont="1" applyFill="1" applyBorder="1" applyAlignment="1">
      <alignment horizontal="center" vertical="center" wrapText="1"/>
    </xf>
    <xf numFmtId="165" fontId="79" fillId="9" borderId="24" xfId="0" applyNumberFormat="1" applyFont="1" applyFill="1" applyBorder="1" applyAlignment="1">
      <alignment horizontal="center" vertical="center" wrapText="1"/>
    </xf>
    <xf numFmtId="165" fontId="79" fillId="6" borderId="24" xfId="0" applyNumberFormat="1" applyFont="1" applyFill="1" applyBorder="1" applyAlignment="1">
      <alignment horizontal="center" vertical="center" wrapText="1"/>
    </xf>
    <xf numFmtId="0" fontId="57" fillId="55" borderId="24" xfId="0" applyFont="1" applyFill="1" applyBorder="1" applyAlignment="1">
      <alignment horizontal="center" vertical="center" wrapText="1"/>
    </xf>
    <xf numFmtId="165" fontId="38" fillId="34" borderId="24" xfId="0" applyNumberFormat="1" applyFont="1" applyFill="1" applyBorder="1" applyAlignment="1">
      <alignment horizontal="center" vertical="center" wrapText="1"/>
    </xf>
    <xf numFmtId="2" fontId="57" fillId="55" borderId="24" xfId="0" applyNumberFormat="1" applyFont="1" applyFill="1" applyBorder="1" applyAlignment="1">
      <alignment horizontal="center" vertical="center" wrapText="1"/>
    </xf>
    <xf numFmtId="0" fontId="56" fillId="14" borderId="0" xfId="0" applyFont="1" applyFill="1" applyAlignment="1">
      <alignment horizontal="center" vertical="center"/>
    </xf>
    <xf numFmtId="165" fontId="58" fillId="34" borderId="47" xfId="0" applyNumberFormat="1" applyFont="1" applyFill="1" applyBorder="1" applyAlignment="1">
      <alignment horizontal="center" vertical="center" wrapText="1"/>
    </xf>
    <xf numFmtId="0" fontId="73" fillId="51" borderId="36" xfId="0" applyFont="1" applyFill="1" applyBorder="1" applyAlignment="1">
      <alignment horizontal="center" vertical="center" wrapText="1"/>
    </xf>
    <xf numFmtId="0" fontId="73" fillId="51" borderId="43" xfId="0" applyFont="1" applyFill="1" applyBorder="1" applyAlignment="1">
      <alignment horizontal="center" vertical="center" wrapText="1"/>
    </xf>
    <xf numFmtId="0" fontId="59" fillId="0" borderId="24" xfId="0" applyFont="1" applyBorder="1"/>
    <xf numFmtId="165" fontId="67" fillId="9" borderId="24" xfId="0" applyNumberFormat="1" applyFont="1" applyFill="1" applyBorder="1" applyAlignment="1">
      <alignment horizontal="center" vertical="center" wrapText="1"/>
    </xf>
    <xf numFmtId="165" fontId="67" fillId="6" borderId="24" xfId="0" applyNumberFormat="1" applyFont="1" applyFill="1" applyBorder="1" applyAlignment="1">
      <alignment horizontal="center" vertical="center" wrapText="1"/>
    </xf>
    <xf numFmtId="10" fontId="67" fillId="9" borderId="24" xfId="0" applyNumberFormat="1" applyFont="1" applyFill="1" applyBorder="1" applyAlignment="1">
      <alignment horizontal="center" vertical="center" wrapText="1"/>
    </xf>
    <xf numFmtId="10" fontId="67" fillId="6" borderId="47" xfId="0" applyNumberFormat="1" applyFont="1" applyFill="1" applyBorder="1" applyAlignment="1">
      <alignment horizontal="center" vertical="center" wrapText="1"/>
    </xf>
    <xf numFmtId="0" fontId="60" fillId="18" borderId="24" xfId="0" applyFont="1" applyFill="1" applyBorder="1" applyAlignment="1">
      <alignment vertical="center" wrapText="1"/>
    </xf>
    <xf numFmtId="0" fontId="57" fillId="21" borderId="24" xfId="0" applyFont="1" applyFill="1" applyBorder="1" applyAlignment="1">
      <alignment horizontal="center" vertical="center" wrapText="1"/>
    </xf>
    <xf numFmtId="2" fontId="57" fillId="21" borderId="24" xfId="0" applyNumberFormat="1" applyFont="1" applyFill="1" applyBorder="1" applyAlignment="1">
      <alignment horizontal="center" vertical="center" wrapText="1"/>
    </xf>
    <xf numFmtId="0" fontId="56" fillId="21" borderId="24" xfId="0" applyFont="1" applyFill="1" applyBorder="1" applyAlignment="1">
      <alignment horizontal="center" vertical="center" wrapText="1"/>
    </xf>
    <xf numFmtId="43" fontId="57" fillId="21" borderId="24" xfId="3" applyFont="1" applyFill="1" applyBorder="1" applyAlignment="1">
      <alignment horizontal="center" vertical="center" wrapText="1"/>
    </xf>
    <xf numFmtId="0" fontId="59" fillId="21" borderId="24" xfId="0" applyFont="1" applyFill="1" applyBorder="1" applyAlignment="1">
      <alignment horizontal="center" vertical="center"/>
    </xf>
    <xf numFmtId="167" fontId="59" fillId="21" borderId="24" xfId="0" applyNumberFormat="1" applyFont="1" applyFill="1" applyBorder="1" applyAlignment="1">
      <alignment horizontal="center" vertical="center"/>
    </xf>
    <xf numFmtId="9" fontId="57" fillId="21" borderId="24" xfId="0" applyNumberFormat="1" applyFont="1" applyFill="1" applyBorder="1" applyAlignment="1">
      <alignment horizontal="center" vertical="center" wrapText="1"/>
    </xf>
    <xf numFmtId="166" fontId="57" fillId="0" borderId="24" xfId="0" applyNumberFormat="1" applyFont="1" applyBorder="1" applyAlignment="1">
      <alignment wrapText="1"/>
    </xf>
    <xf numFmtId="10" fontId="32" fillId="9" borderId="51" xfId="0" applyNumberFormat="1" applyFont="1" applyFill="1" applyBorder="1" applyAlignment="1">
      <alignment horizontal="center" vertical="center" wrapText="1"/>
    </xf>
    <xf numFmtId="10" fontId="32" fillId="6" borderId="51" xfId="0" applyNumberFormat="1" applyFont="1" applyFill="1" applyBorder="1" applyAlignment="1">
      <alignment horizontal="center" vertical="center" wrapText="1"/>
    </xf>
    <xf numFmtId="0" fontId="58" fillId="18" borderId="24" xfId="0" applyFont="1" applyFill="1" applyBorder="1" applyAlignment="1">
      <alignment wrapText="1"/>
    </xf>
    <xf numFmtId="0" fontId="48" fillId="0" borderId="3" xfId="0" applyFont="1" applyBorder="1" applyAlignment="1">
      <alignment wrapText="1"/>
    </xf>
    <xf numFmtId="0" fontId="48" fillId="19" borderId="3" xfId="0" applyFont="1" applyFill="1" applyBorder="1" applyAlignment="1">
      <alignment wrapText="1"/>
    </xf>
    <xf numFmtId="0" fontId="48" fillId="0" borderId="51" xfId="0" applyFont="1" applyBorder="1" applyAlignment="1">
      <alignment wrapText="1"/>
    </xf>
    <xf numFmtId="9" fontId="51" fillId="0" borderId="32" xfId="0" applyNumberFormat="1" applyFont="1" applyBorder="1" applyAlignment="1">
      <alignment horizontal="center" vertical="center"/>
    </xf>
    <xf numFmtId="0" fontId="49" fillId="0" borderId="51" xfId="0" applyFont="1" applyBorder="1"/>
    <xf numFmtId="0" fontId="52" fillId="0" borderId="51" xfId="0" applyFont="1" applyBorder="1" applyAlignment="1">
      <alignment horizontal="center" wrapText="1"/>
    </xf>
    <xf numFmtId="0" fontId="48" fillId="0" borderId="24" xfId="0" applyFont="1" applyBorder="1" applyAlignment="1">
      <alignment horizontal="center" vertical="center" wrapText="1"/>
    </xf>
    <xf numFmtId="165" fontId="45" fillId="4" borderId="24" xfId="0" applyNumberFormat="1" applyFont="1" applyFill="1" applyBorder="1" applyAlignment="1">
      <alignment horizontal="center" vertical="center" wrapText="1"/>
    </xf>
    <xf numFmtId="0" fontId="45" fillId="21" borderId="24" xfId="0" applyFont="1" applyFill="1" applyBorder="1" applyAlignment="1">
      <alignment horizontal="center" vertical="center" wrapText="1"/>
    </xf>
    <xf numFmtId="3" fontId="56" fillId="21" borderId="24" xfId="0" applyNumberFormat="1" applyFont="1" applyFill="1" applyBorder="1" applyAlignment="1">
      <alignment horizontal="center" vertical="center" wrapText="1"/>
    </xf>
    <xf numFmtId="4" fontId="56" fillId="21" borderId="24" xfId="0" applyNumberFormat="1" applyFont="1" applyFill="1" applyBorder="1" applyAlignment="1">
      <alignment horizontal="center" vertical="center" wrapText="1"/>
    </xf>
    <xf numFmtId="0" fontId="72" fillId="21" borderId="6" xfId="0" applyFont="1" applyFill="1" applyBorder="1" applyAlignment="1">
      <alignment horizontal="center" vertical="center" wrapText="1"/>
    </xf>
    <xf numFmtId="0" fontId="73" fillId="0" borderId="13" xfId="0" applyFont="1" applyBorder="1" applyAlignment="1">
      <alignment horizontal="center" vertical="center" wrapText="1"/>
    </xf>
    <xf numFmtId="0" fontId="74" fillId="19" borderId="119" xfId="2" applyFont="1" applyFill="1" applyBorder="1" applyAlignment="1">
      <alignment horizontal="center" vertical="center"/>
    </xf>
    <xf numFmtId="0" fontId="72" fillId="0" borderId="73" xfId="0" applyFont="1" applyBorder="1" applyAlignment="1">
      <alignment horizontal="center" vertical="center" wrapText="1"/>
    </xf>
    <xf numFmtId="0" fontId="72" fillId="0" borderId="115" xfId="0" applyFont="1" applyBorder="1" applyAlignment="1">
      <alignment horizontal="center" vertical="center" wrapText="1"/>
    </xf>
    <xf numFmtId="0" fontId="38" fillId="5" borderId="12" xfId="0" applyFont="1" applyFill="1" applyBorder="1" applyAlignment="1">
      <alignment horizontal="center" vertical="center" wrapText="1"/>
    </xf>
    <xf numFmtId="9" fontId="57" fillId="25" borderId="47" xfId="0" applyNumberFormat="1" applyFont="1" applyFill="1" applyBorder="1" applyAlignment="1">
      <alignment horizontal="center" vertical="center" wrapText="1"/>
    </xf>
    <xf numFmtId="0" fontId="60" fillId="25" borderId="24" xfId="0" applyFont="1" applyFill="1" applyBorder="1" applyAlignment="1">
      <alignment vertical="center"/>
    </xf>
    <xf numFmtId="0" fontId="57" fillId="18" borderId="24" xfId="0" applyFont="1" applyFill="1" applyBorder="1" applyAlignment="1">
      <alignment horizontal="center" vertical="center" wrapText="1"/>
    </xf>
    <xf numFmtId="0" fontId="60" fillId="18" borderId="24" xfId="0" applyFont="1" applyFill="1" applyBorder="1" applyAlignment="1">
      <alignment vertical="center"/>
    </xf>
    <xf numFmtId="0" fontId="59" fillId="18" borderId="24" xfId="0" applyFont="1" applyFill="1" applyBorder="1" applyAlignment="1">
      <alignment horizontal="left" vertical="center" wrapText="1"/>
    </xf>
    <xf numFmtId="0" fontId="60" fillId="25" borderId="24" xfId="0" applyFont="1" applyFill="1" applyBorder="1" applyAlignment="1">
      <alignment horizontal="center" vertical="center"/>
    </xf>
    <xf numFmtId="9" fontId="58" fillId="25" borderId="24" xfId="0" applyNumberFormat="1" applyFont="1" applyFill="1" applyBorder="1" applyAlignment="1">
      <alignment horizontal="left" vertical="center" wrapText="1"/>
    </xf>
    <xf numFmtId="9" fontId="58" fillId="25" borderId="24" xfId="0" applyNumberFormat="1" applyFont="1" applyFill="1" applyBorder="1" applyAlignment="1">
      <alignment horizontal="center" vertical="center" wrapText="1"/>
    </xf>
    <xf numFmtId="0" fontId="60" fillId="18" borderId="24" xfId="0" applyFont="1" applyFill="1" applyBorder="1" applyAlignment="1">
      <alignment horizontal="left" vertical="center" wrapText="1"/>
    </xf>
    <xf numFmtId="0" fontId="73" fillId="25" borderId="24" xfId="0" applyFont="1" applyFill="1" applyBorder="1" applyAlignment="1">
      <alignment vertical="center" wrapText="1"/>
    </xf>
    <xf numFmtId="167" fontId="57" fillId="21" borderId="24" xfId="0" applyNumberFormat="1" applyFont="1" applyFill="1" applyBorder="1" applyAlignment="1">
      <alignment horizontal="center" vertical="center" wrapText="1"/>
    </xf>
    <xf numFmtId="170" fontId="72" fillId="21" borderId="14" xfId="0" applyNumberFormat="1" applyFont="1" applyFill="1" applyBorder="1" applyAlignment="1">
      <alignment horizontal="center" vertical="center" wrapText="1"/>
    </xf>
    <xf numFmtId="9" fontId="72" fillId="25" borderId="47" xfId="0" applyNumberFormat="1" applyFont="1" applyFill="1" applyBorder="1" applyAlignment="1">
      <alignment horizontal="center" vertical="center" wrapText="1"/>
    </xf>
    <xf numFmtId="0" fontId="73" fillId="18" borderId="24" xfId="0" applyFont="1" applyFill="1" applyBorder="1" applyAlignment="1">
      <alignment vertical="center" wrapText="1"/>
    </xf>
    <xf numFmtId="9" fontId="73" fillId="25" borderId="24" xfId="0" applyNumberFormat="1" applyFont="1" applyFill="1" applyBorder="1" applyAlignment="1">
      <alignment horizontal="center" vertical="center" wrapText="1"/>
    </xf>
    <xf numFmtId="1" fontId="72" fillId="21" borderId="14" xfId="0" applyNumberFormat="1" applyFont="1" applyFill="1" applyBorder="1" applyAlignment="1">
      <alignment horizontal="center" vertical="center" wrapText="1"/>
    </xf>
    <xf numFmtId="1" fontId="72" fillId="0" borderId="14" xfId="0" applyNumberFormat="1" applyFont="1" applyBorder="1" applyAlignment="1">
      <alignment vertical="center" wrapText="1"/>
    </xf>
    <xf numFmtId="10" fontId="73" fillId="32" borderId="24" xfId="0" applyNumberFormat="1" applyFont="1" applyFill="1" applyBorder="1" applyAlignment="1">
      <alignment horizontal="center" vertical="center" wrapText="1"/>
    </xf>
    <xf numFmtId="0" fontId="58" fillId="18" borderId="9" xfId="0" applyFont="1" applyFill="1" applyBorder="1" applyAlignment="1">
      <alignment vertical="center" wrapText="1"/>
    </xf>
    <xf numFmtId="0" fontId="58" fillId="50" borderId="9" xfId="0" applyFont="1" applyFill="1" applyBorder="1" applyAlignment="1">
      <alignment vertical="center" wrapText="1"/>
    </xf>
    <xf numFmtId="0" fontId="81" fillId="0" borderId="0" xfId="0" applyFont="1"/>
    <xf numFmtId="0" fontId="74" fillId="0" borderId="25" xfId="0" applyFont="1" applyBorder="1"/>
    <xf numFmtId="9" fontId="58" fillId="25" borderId="25" xfId="0" applyNumberFormat="1" applyFont="1" applyFill="1" applyBorder="1" applyAlignment="1">
      <alignment horizontal="center" vertical="center" wrapText="1"/>
    </xf>
    <xf numFmtId="9" fontId="48" fillId="25" borderId="119" xfId="0" applyNumberFormat="1" applyFont="1" applyFill="1" applyBorder="1" applyAlignment="1">
      <alignment horizontal="center" vertical="center" wrapText="1"/>
    </xf>
    <xf numFmtId="9" fontId="72" fillId="0" borderId="9" xfId="0" applyNumberFormat="1" applyFont="1" applyBorder="1" applyAlignment="1">
      <alignment vertical="center" wrapText="1"/>
    </xf>
    <xf numFmtId="0" fontId="58" fillId="18" borderId="25" xfId="0" applyFont="1" applyFill="1" applyBorder="1" applyAlignment="1">
      <alignment vertical="center" wrapText="1"/>
    </xf>
    <xf numFmtId="0" fontId="58" fillId="25" borderId="25" xfId="0" applyFont="1" applyFill="1" applyBorder="1" applyAlignment="1">
      <alignment vertical="center" wrapText="1"/>
    </xf>
    <xf numFmtId="9" fontId="57" fillId="19" borderId="116" xfId="0" applyNumberFormat="1" applyFont="1" applyFill="1" applyBorder="1" applyAlignment="1">
      <alignment horizontal="center" vertical="center" wrapText="1"/>
    </xf>
    <xf numFmtId="0" fontId="58" fillId="18" borderId="25" xfId="0" applyFont="1" applyFill="1" applyBorder="1" applyAlignment="1">
      <alignment wrapText="1"/>
    </xf>
    <xf numFmtId="9" fontId="48" fillId="19" borderId="47" xfId="0" applyNumberFormat="1" applyFont="1" applyFill="1" applyBorder="1" applyAlignment="1">
      <alignment horizontal="center" vertical="center" wrapText="1"/>
    </xf>
    <xf numFmtId="0" fontId="72" fillId="0" borderId="0" xfId="0" applyFont="1" applyAlignment="1">
      <alignment wrapText="1"/>
    </xf>
    <xf numFmtId="0" fontId="73" fillId="56" borderId="27" xfId="0" applyFont="1" applyFill="1" applyBorder="1" applyAlignment="1">
      <alignment horizontal="center" vertical="center" wrapText="1"/>
    </xf>
    <xf numFmtId="10" fontId="58" fillId="33" borderId="112" xfId="0" applyNumberFormat="1" applyFont="1" applyFill="1" applyBorder="1" applyAlignment="1">
      <alignment vertical="center" wrapText="1"/>
    </xf>
    <xf numFmtId="0" fontId="59" fillId="19" borderId="34" xfId="0" applyFont="1" applyFill="1" applyBorder="1"/>
    <xf numFmtId="165" fontId="58" fillId="33" borderId="120" xfId="0" applyNumberFormat="1" applyFont="1" applyFill="1" applyBorder="1" applyAlignment="1">
      <alignment horizontal="center" vertical="center" wrapText="1"/>
    </xf>
    <xf numFmtId="9" fontId="57" fillId="25" borderId="28" xfId="0" applyNumberFormat="1" applyFont="1" applyFill="1" applyBorder="1" applyAlignment="1">
      <alignment horizontal="center" vertical="center" wrapText="1"/>
    </xf>
    <xf numFmtId="9" fontId="57" fillId="25" borderId="116" xfId="0" applyNumberFormat="1" applyFont="1" applyFill="1" applyBorder="1" applyAlignment="1">
      <alignment horizontal="center" vertical="center" wrapText="1"/>
    </xf>
    <xf numFmtId="9" fontId="57" fillId="50" borderId="34" xfId="0" applyNumberFormat="1" applyFont="1" applyFill="1" applyBorder="1" applyAlignment="1">
      <alignment horizontal="left" vertical="center" wrapText="1"/>
    </xf>
    <xf numFmtId="165" fontId="73" fillId="11" borderId="114" xfId="0" applyNumberFormat="1" applyFont="1" applyFill="1" applyBorder="1" applyAlignment="1">
      <alignment horizontal="center" vertical="center" wrapText="1"/>
    </xf>
    <xf numFmtId="165" fontId="73" fillId="36" borderId="114" xfId="0" applyNumberFormat="1" applyFont="1" applyFill="1" applyBorder="1" applyAlignment="1">
      <alignment horizontal="center" vertical="center" wrapText="1"/>
    </xf>
    <xf numFmtId="9" fontId="58" fillId="18" borderId="25" xfId="0" applyNumberFormat="1" applyFont="1" applyFill="1" applyBorder="1" applyAlignment="1">
      <alignment horizontal="left" vertical="center" wrapText="1"/>
    </xf>
    <xf numFmtId="9" fontId="73" fillId="25" borderId="24" xfId="0" applyNumberFormat="1" applyFont="1" applyFill="1" applyBorder="1" applyAlignment="1">
      <alignment horizontal="left" vertical="center" wrapText="1"/>
    </xf>
    <xf numFmtId="9" fontId="57" fillId="50" borderId="116" xfId="0" applyNumberFormat="1" applyFont="1" applyFill="1" applyBorder="1" applyAlignment="1">
      <alignment horizontal="center" vertical="center" wrapText="1"/>
    </xf>
    <xf numFmtId="165" fontId="58" fillId="33" borderId="116" xfId="0" applyNumberFormat="1" applyFont="1" applyFill="1" applyBorder="1" applyAlignment="1">
      <alignment horizontal="center" vertical="center" wrapText="1"/>
    </xf>
    <xf numFmtId="0" fontId="57" fillId="0" borderId="0" xfId="0" applyFont="1" applyAlignment="1">
      <alignment wrapText="1"/>
    </xf>
    <xf numFmtId="0" fontId="56" fillId="14" borderId="45" xfId="0" applyFont="1" applyFill="1" applyBorder="1" applyAlignment="1">
      <alignment horizontal="center" vertical="center"/>
    </xf>
    <xf numFmtId="0" fontId="56" fillId="14" borderId="24" xfId="0" applyFont="1" applyFill="1" applyBorder="1" applyAlignment="1">
      <alignment horizontal="center" vertical="center"/>
    </xf>
    <xf numFmtId="0" fontId="57" fillId="0" borderId="47" xfId="0" applyFont="1" applyBorder="1" applyAlignment="1">
      <alignment wrapText="1"/>
    </xf>
    <xf numFmtId="0" fontId="57" fillId="0" borderId="51" xfId="0" applyFont="1" applyBorder="1" applyAlignment="1">
      <alignment wrapText="1"/>
    </xf>
    <xf numFmtId="0" fontId="72" fillId="0" borderId="3" xfId="0" applyFont="1" applyBorder="1" applyAlignment="1">
      <alignment vertical="center" wrapText="1"/>
    </xf>
    <xf numFmtId="0" fontId="72" fillId="0" borderId="90" xfId="0" applyFont="1" applyBorder="1" applyAlignment="1">
      <alignment vertical="center" wrapText="1"/>
    </xf>
    <xf numFmtId="0" fontId="72" fillId="0" borderId="57" xfId="0" applyFont="1" applyBorder="1" applyAlignment="1">
      <alignment vertical="center" wrapText="1"/>
    </xf>
    <xf numFmtId="0" fontId="72" fillId="0" borderId="43" xfId="0" applyFont="1" applyBorder="1" applyAlignment="1">
      <alignment vertical="center" wrapText="1"/>
    </xf>
    <xf numFmtId="0" fontId="72" fillId="0" borderId="86" xfId="0" applyFont="1" applyBorder="1" applyAlignment="1">
      <alignment vertical="center" wrapText="1"/>
    </xf>
    <xf numFmtId="0" fontId="72" fillId="0" borderId="82" xfId="0" applyFont="1" applyBorder="1" applyAlignment="1">
      <alignment vertical="center" wrapText="1"/>
    </xf>
    <xf numFmtId="0" fontId="72" fillId="0" borderId="76" xfId="0" applyFont="1" applyBorder="1" applyAlignment="1">
      <alignment vertical="center" wrapText="1"/>
    </xf>
    <xf numFmtId="0" fontId="72" fillId="19" borderId="25" xfId="0" applyFont="1" applyFill="1" applyBorder="1" applyAlignment="1">
      <alignment vertical="center" wrapText="1"/>
    </xf>
    <xf numFmtId="0" fontId="72" fillId="0" borderId="59" xfId="0" applyFont="1" applyBorder="1" applyAlignment="1">
      <alignment vertical="center" wrapText="1"/>
    </xf>
    <xf numFmtId="0" fontId="72" fillId="0" borderId="65" xfId="0" applyFont="1" applyBorder="1" applyAlignment="1">
      <alignment vertical="center" wrapText="1"/>
    </xf>
    <xf numFmtId="0" fontId="72" fillId="0" borderId="77" xfId="0" applyFont="1" applyBorder="1" applyAlignment="1">
      <alignment vertical="center" wrapText="1"/>
    </xf>
    <xf numFmtId="0" fontId="72" fillId="0" borderId="74" xfId="0" applyFont="1" applyBorder="1" applyAlignment="1">
      <alignment vertical="center" wrapText="1"/>
    </xf>
    <xf numFmtId="0" fontId="72" fillId="0" borderId="75" xfId="0" applyFont="1" applyBorder="1" applyAlignment="1">
      <alignment vertical="center" wrapText="1"/>
    </xf>
    <xf numFmtId="0" fontId="72" fillId="0" borderId="81" xfId="0" applyFont="1" applyBorder="1" applyAlignment="1">
      <alignment vertical="center" wrapText="1"/>
    </xf>
    <xf numFmtId="0" fontId="72" fillId="0" borderId="79" xfId="0" applyFont="1" applyBorder="1" applyAlignment="1">
      <alignment vertical="center" wrapText="1"/>
    </xf>
    <xf numFmtId="0" fontId="72" fillId="19" borderId="55" xfId="0" applyFont="1" applyFill="1" applyBorder="1" applyAlignment="1">
      <alignment vertical="center" wrapText="1"/>
    </xf>
    <xf numFmtId="0" fontId="72" fillId="0" borderId="77" xfId="0" applyFont="1" applyBorder="1" applyAlignment="1">
      <alignment horizontal="center" vertical="center" wrapText="1"/>
    </xf>
    <xf numFmtId="0" fontId="72" fillId="0" borderId="74" xfId="0" applyFont="1" applyBorder="1" applyAlignment="1">
      <alignment horizontal="center" vertical="center" wrapText="1"/>
    </xf>
    <xf numFmtId="0" fontId="72" fillId="0" borderId="78" xfId="0" applyFont="1" applyBorder="1" applyAlignment="1">
      <alignment horizontal="center" vertical="center" wrapText="1"/>
    </xf>
    <xf numFmtId="0" fontId="72" fillId="0" borderId="55" xfId="0" applyFont="1" applyBorder="1" applyAlignment="1">
      <alignment horizontal="center" vertical="center" wrapText="1"/>
    </xf>
    <xf numFmtId="0" fontId="72" fillId="19" borderId="55" xfId="0" applyFont="1" applyFill="1" applyBorder="1" applyAlignment="1">
      <alignment horizontal="center" vertical="center" wrapText="1"/>
    </xf>
    <xf numFmtId="0" fontId="72" fillId="0" borderId="57" xfId="0" applyFont="1" applyBorder="1" applyAlignment="1">
      <alignment horizontal="center" vertical="center" wrapText="1"/>
    </xf>
    <xf numFmtId="0" fontId="72" fillId="0" borderId="76" xfId="0" applyFont="1" applyBorder="1" applyAlignment="1">
      <alignment horizontal="center" vertical="center" wrapText="1"/>
    </xf>
    <xf numFmtId="0" fontId="72" fillId="0" borderId="75" xfId="0" applyFont="1" applyBorder="1" applyAlignment="1">
      <alignment horizontal="center" vertical="center" wrapText="1"/>
    </xf>
    <xf numFmtId="0" fontId="72" fillId="0" borderId="81" xfId="0" applyFont="1" applyBorder="1" applyAlignment="1">
      <alignment horizontal="center" vertical="center" wrapText="1"/>
    </xf>
    <xf numFmtId="0" fontId="72" fillId="0" borderId="78" xfId="0" applyFont="1" applyBorder="1" applyAlignment="1">
      <alignment vertical="center" wrapText="1"/>
    </xf>
    <xf numFmtId="0" fontId="72" fillId="0" borderId="62" xfId="0" applyFont="1" applyBorder="1" applyAlignment="1">
      <alignment vertical="center" wrapText="1"/>
    </xf>
    <xf numFmtId="0" fontId="72" fillId="0" borderId="20" xfId="0" applyFont="1" applyBorder="1" applyAlignment="1">
      <alignment vertical="center" wrapText="1"/>
    </xf>
    <xf numFmtId="0" fontId="72" fillId="0" borderId="1" xfId="0" applyFont="1" applyBorder="1" applyAlignment="1">
      <alignment vertical="center" wrapText="1"/>
    </xf>
    <xf numFmtId="0" fontId="74" fillId="0" borderId="0" xfId="0" applyFont="1" applyAlignment="1">
      <alignment vertical="center"/>
    </xf>
    <xf numFmtId="0" fontId="72" fillId="18" borderId="24" xfId="0" applyFont="1" applyFill="1" applyBorder="1" applyAlignment="1">
      <alignment horizontal="center" vertical="center" wrapText="1"/>
    </xf>
    <xf numFmtId="165" fontId="72" fillId="0" borderId="9" xfId="1" applyNumberFormat="1" applyFont="1" applyBorder="1" applyAlignment="1">
      <alignment horizontal="center" vertical="center" wrapText="1"/>
    </xf>
    <xf numFmtId="9" fontId="58" fillId="25" borderId="34" xfId="0" applyNumberFormat="1" applyFont="1" applyFill="1" applyBorder="1" applyAlignment="1">
      <alignment horizontal="center" vertical="center" wrapText="1"/>
    </xf>
    <xf numFmtId="9" fontId="58" fillId="18" borderId="34" xfId="0" applyNumberFormat="1" applyFont="1" applyFill="1" applyBorder="1" applyAlignment="1">
      <alignment horizontal="left" vertical="center" wrapText="1"/>
    </xf>
    <xf numFmtId="0" fontId="58" fillId="18" borderId="24" xfId="0" applyFont="1" applyFill="1" applyBorder="1" applyAlignment="1">
      <alignment vertical="center" wrapText="1"/>
    </xf>
    <xf numFmtId="0" fontId="57" fillId="19" borderId="27" xfId="0" applyFont="1" applyFill="1" applyBorder="1" applyAlignment="1">
      <alignment wrapText="1"/>
    </xf>
    <xf numFmtId="1" fontId="72" fillId="0" borderId="14" xfId="0" applyNumberFormat="1" applyFont="1" applyBorder="1" applyAlignment="1">
      <alignment horizontal="center" vertical="center" wrapText="1"/>
    </xf>
    <xf numFmtId="170" fontId="57" fillId="0" borderId="24" xfId="0" applyNumberFormat="1" applyFont="1" applyBorder="1" applyAlignment="1">
      <alignment horizontal="center" vertical="center" wrapText="1"/>
    </xf>
    <xf numFmtId="0" fontId="58" fillId="18" borderId="34" xfId="0" applyFont="1" applyFill="1" applyBorder="1" applyAlignment="1">
      <alignment horizontal="center" vertical="center" wrapText="1"/>
    </xf>
    <xf numFmtId="0" fontId="58" fillId="18" borderId="24" xfId="0" applyFont="1" applyFill="1" applyBorder="1" applyAlignment="1">
      <alignment horizontal="left" vertical="center" wrapText="1"/>
    </xf>
    <xf numFmtId="9" fontId="57" fillId="25" borderId="47" xfId="0" applyNumberFormat="1" applyFont="1" applyFill="1" applyBorder="1" applyAlignment="1">
      <alignment horizontal="left" vertical="center" wrapText="1"/>
    </xf>
    <xf numFmtId="0" fontId="58" fillId="18" borderId="31" xfId="0" applyFont="1" applyFill="1" applyBorder="1" applyAlignment="1">
      <alignment horizontal="left" vertical="center" wrapText="1"/>
    </xf>
    <xf numFmtId="0" fontId="58" fillId="18" borderId="51" xfId="0" applyFont="1" applyFill="1" applyBorder="1" applyAlignment="1">
      <alignment wrapText="1"/>
    </xf>
    <xf numFmtId="9" fontId="21" fillId="0" borderId="24" xfId="1" applyFont="1" applyBorder="1" applyAlignment="1">
      <alignment horizontal="center" vertical="center"/>
    </xf>
    <xf numFmtId="0" fontId="85" fillId="0" borderId="0" xfId="0" applyFont="1"/>
    <xf numFmtId="0" fontId="82" fillId="0" borderId="22" xfId="0" applyFont="1" applyBorder="1" applyAlignment="1">
      <alignment wrapText="1"/>
    </xf>
    <xf numFmtId="0" fontId="82" fillId="0" borderId="54" xfId="0" applyFont="1" applyBorder="1" applyAlignment="1">
      <alignment vertical="center" wrapText="1"/>
    </xf>
    <xf numFmtId="9" fontId="83" fillId="8" borderId="34" xfId="0" applyNumberFormat="1" applyFont="1" applyFill="1" applyBorder="1" applyAlignment="1">
      <alignment horizontal="center" vertical="center" wrapText="1"/>
    </xf>
    <xf numFmtId="9" fontId="83" fillId="8" borderId="24" xfId="0" applyNumberFormat="1" applyFont="1" applyFill="1" applyBorder="1" applyAlignment="1">
      <alignment horizontal="center" vertical="center" wrapText="1"/>
    </xf>
    <xf numFmtId="9" fontId="82" fillId="0" borderId="47" xfId="0" applyNumberFormat="1" applyFont="1" applyBorder="1" applyAlignment="1">
      <alignment vertical="center" wrapText="1"/>
    </xf>
    <xf numFmtId="165" fontId="83" fillId="35" borderId="34" xfId="0" applyNumberFormat="1" applyFont="1" applyFill="1" applyBorder="1" applyAlignment="1">
      <alignment horizontal="center" vertical="center" wrapText="1"/>
    </xf>
    <xf numFmtId="165" fontId="83" fillId="37" borderId="24" xfId="0" applyNumberFormat="1" applyFont="1" applyFill="1" applyBorder="1" applyAlignment="1">
      <alignment horizontal="center" vertical="center" wrapText="1"/>
    </xf>
    <xf numFmtId="0" fontId="82" fillId="0" borderId="51" xfId="0" applyFont="1" applyBorder="1" applyAlignment="1">
      <alignment horizontal="center" wrapText="1"/>
    </xf>
    <xf numFmtId="0" fontId="82" fillId="0" borderId="51" xfId="0" applyFont="1" applyBorder="1" applyAlignment="1">
      <alignment wrapText="1"/>
    </xf>
    <xf numFmtId="165" fontId="83" fillId="34" borderId="119" xfId="0" applyNumberFormat="1" applyFont="1" applyFill="1" applyBorder="1" applyAlignment="1">
      <alignment horizontal="center" vertical="center" wrapText="1"/>
    </xf>
    <xf numFmtId="165" fontId="83" fillId="11" borderId="24" xfId="0" applyNumberFormat="1" applyFont="1" applyFill="1" applyBorder="1" applyAlignment="1">
      <alignment horizontal="center" vertical="center" wrapText="1"/>
    </xf>
    <xf numFmtId="165" fontId="83" fillId="34" borderId="24" xfId="0" applyNumberFormat="1" applyFont="1" applyFill="1" applyBorder="1" applyAlignment="1">
      <alignment horizontal="center" vertical="center" wrapText="1"/>
    </xf>
    <xf numFmtId="9" fontId="83" fillId="13" borderId="29" xfId="0" applyNumberFormat="1" applyFont="1" applyFill="1" applyBorder="1" applyAlignment="1">
      <alignment horizontal="center" vertical="center" wrapText="1"/>
    </xf>
    <xf numFmtId="0" fontId="83" fillId="0" borderId="30" xfId="0" applyFont="1" applyBorder="1" applyAlignment="1">
      <alignment wrapText="1"/>
    </xf>
    <xf numFmtId="0" fontId="82" fillId="0" borderId="139" xfId="0" applyFont="1" applyBorder="1" applyAlignment="1">
      <alignment wrapText="1"/>
    </xf>
    <xf numFmtId="0" fontId="82" fillId="0" borderId="24" xfId="0" applyFont="1" applyBorder="1" applyAlignment="1">
      <alignment wrapText="1"/>
    </xf>
    <xf numFmtId="165" fontId="83" fillId="32" borderId="140" xfId="0" applyNumberFormat="1" applyFont="1" applyFill="1" applyBorder="1" applyAlignment="1">
      <alignment horizontal="center" vertical="center" wrapText="1"/>
    </xf>
    <xf numFmtId="165" fontId="83" fillId="32" borderId="30" xfId="0" applyNumberFormat="1" applyFont="1" applyFill="1" applyBorder="1" applyAlignment="1">
      <alignment horizontal="center" vertical="center" wrapText="1"/>
    </xf>
    <xf numFmtId="0" fontId="82" fillId="0" borderId="30" xfId="0" applyFont="1" applyBorder="1" applyAlignment="1">
      <alignment horizontal="center" vertical="center" wrapText="1"/>
    </xf>
    <xf numFmtId="0" fontId="82" fillId="0" borderId="30" xfId="0" applyFont="1" applyBorder="1" applyAlignment="1">
      <alignment vertical="center" wrapText="1"/>
    </xf>
    <xf numFmtId="165" fontId="83" fillId="4" borderId="139" xfId="0" applyNumberFormat="1" applyFont="1" applyFill="1" applyBorder="1" applyAlignment="1">
      <alignment horizontal="center" vertical="center" wrapText="1"/>
    </xf>
    <xf numFmtId="165" fontId="83" fillId="4" borderId="24" xfId="0" applyNumberFormat="1" applyFont="1" applyFill="1" applyBorder="1" applyAlignment="1">
      <alignment horizontal="center" vertical="center" wrapText="1"/>
    </xf>
    <xf numFmtId="165" fontId="83" fillId="32" borderId="24" xfId="0" applyNumberFormat="1" applyFont="1" applyFill="1" applyBorder="1" applyAlignment="1">
      <alignment horizontal="center" vertical="center" wrapText="1"/>
    </xf>
    <xf numFmtId="9" fontId="58" fillId="18" borderId="24" xfId="0" applyNumberFormat="1" applyFont="1" applyFill="1" applyBorder="1" applyAlignment="1">
      <alignment horizontal="left" vertical="center" wrapText="1"/>
    </xf>
    <xf numFmtId="0" fontId="57" fillId="18" borderId="21" xfId="0" applyFont="1" applyFill="1" applyBorder="1" applyAlignment="1">
      <alignment vertical="center" wrapText="1"/>
    </xf>
    <xf numFmtId="0" fontId="58" fillId="50" borderId="148" xfId="0" applyFont="1" applyFill="1" applyBorder="1" applyAlignment="1">
      <alignment vertical="center" wrapText="1"/>
    </xf>
    <xf numFmtId="9" fontId="58" fillId="25" borderId="31" xfId="0" applyNumberFormat="1" applyFont="1" applyFill="1" applyBorder="1" applyAlignment="1">
      <alignment horizontal="left" vertical="center" wrapText="1"/>
    </xf>
    <xf numFmtId="9" fontId="58" fillId="25" borderId="51" xfId="0" applyNumberFormat="1" applyFont="1" applyFill="1" applyBorder="1" applyAlignment="1">
      <alignment horizontal="left" vertical="center" wrapText="1"/>
    </xf>
    <xf numFmtId="0" fontId="57" fillId="0" borderId="148" xfId="0" applyFont="1" applyBorder="1" applyAlignment="1">
      <alignment vertical="center" wrapText="1"/>
    </xf>
    <xf numFmtId="9" fontId="58" fillId="25" borderId="25" xfId="0" applyNumberFormat="1" applyFont="1" applyFill="1" applyBorder="1" applyAlignment="1">
      <alignment horizontal="left" vertical="center" wrapText="1"/>
    </xf>
    <xf numFmtId="0" fontId="58" fillId="50" borderId="25" xfId="0" applyFont="1" applyFill="1" applyBorder="1" applyAlignment="1">
      <alignment vertical="center" wrapText="1"/>
    </xf>
    <xf numFmtId="0" fontId="58" fillId="0" borderId="9" xfId="0" applyFont="1" applyBorder="1" applyAlignment="1">
      <alignment horizontal="left" vertical="center" wrapText="1"/>
    </xf>
    <xf numFmtId="9" fontId="58" fillId="25" borderId="34" xfId="0" applyNumberFormat="1" applyFont="1" applyFill="1" applyBorder="1" applyAlignment="1">
      <alignment horizontal="left" vertical="center" wrapText="1"/>
    </xf>
    <xf numFmtId="165" fontId="73" fillId="57" borderId="24" xfId="0" applyNumberFormat="1" applyFont="1" applyFill="1" applyBorder="1" applyAlignment="1">
      <alignment horizontal="center" vertical="center" wrapText="1"/>
    </xf>
    <xf numFmtId="165" fontId="73" fillId="33" borderId="47" xfId="0" applyNumberFormat="1" applyFont="1" applyFill="1" applyBorder="1" applyAlignment="1">
      <alignment horizontal="center" vertical="center" wrapText="1"/>
    </xf>
    <xf numFmtId="0" fontId="60" fillId="25" borderId="24" xfId="0" applyFont="1" applyFill="1" applyBorder="1" applyAlignment="1">
      <alignment horizontal="left" vertical="center" wrapText="1"/>
    </xf>
    <xf numFmtId="0" fontId="60" fillId="25" borderId="24" xfId="0" applyFont="1" applyFill="1" applyBorder="1" applyAlignment="1">
      <alignment vertical="center" wrapText="1"/>
    </xf>
    <xf numFmtId="0" fontId="80" fillId="0" borderId="22" xfId="0" applyFont="1" applyBorder="1" applyAlignment="1">
      <alignment wrapText="1"/>
    </xf>
    <xf numFmtId="0" fontId="81" fillId="0" borderId="24" xfId="0" applyFont="1" applyBorder="1"/>
    <xf numFmtId="165" fontId="12" fillId="0" borderId="14" xfId="0" applyNumberFormat="1" applyFont="1" applyBorder="1" applyAlignment="1">
      <alignment horizontal="center" vertical="center"/>
    </xf>
    <xf numFmtId="165" fontId="12" fillId="0" borderId="45" xfId="0" applyNumberFormat="1" applyFont="1" applyBorder="1" applyAlignment="1">
      <alignment horizontal="center" vertical="center"/>
    </xf>
    <xf numFmtId="10" fontId="27" fillId="44" borderId="21" xfId="0" applyNumberFormat="1" applyFont="1" applyFill="1" applyBorder="1" applyAlignment="1">
      <alignment horizontal="center" vertical="center" wrapText="1"/>
    </xf>
    <xf numFmtId="165" fontId="31" fillId="41" borderId="24" xfId="0" applyNumberFormat="1" applyFont="1" applyFill="1" applyBorder="1" applyAlignment="1">
      <alignment horizontal="center" vertical="center" wrapText="1"/>
    </xf>
    <xf numFmtId="165" fontId="73" fillId="57" borderId="114" xfId="0" applyNumberFormat="1" applyFont="1" applyFill="1" applyBorder="1" applyAlignment="1">
      <alignment horizontal="left" vertical="center" wrapText="1"/>
    </xf>
    <xf numFmtId="165" fontId="34" fillId="19" borderId="96" xfId="0" applyNumberFormat="1" applyFont="1" applyFill="1" applyBorder="1" applyAlignment="1">
      <alignment horizontal="center" vertical="center"/>
    </xf>
    <xf numFmtId="165" fontId="34" fillId="19" borderId="97" xfId="0" applyNumberFormat="1" applyFont="1" applyFill="1" applyBorder="1" applyAlignment="1">
      <alignment horizontal="center" vertical="center"/>
    </xf>
    <xf numFmtId="10" fontId="90" fillId="9" borderId="51" xfId="0" applyNumberFormat="1" applyFont="1" applyFill="1" applyBorder="1" applyAlignment="1">
      <alignment horizontal="center" vertical="center" wrapText="1"/>
    </xf>
    <xf numFmtId="10" fontId="90" fillId="6" borderId="51" xfId="0" applyNumberFormat="1" applyFont="1" applyFill="1" applyBorder="1" applyAlignment="1">
      <alignment horizontal="center" vertical="center" wrapText="1"/>
    </xf>
    <xf numFmtId="0" fontId="0" fillId="0" borderId="36" xfId="0" applyBorder="1"/>
    <xf numFmtId="0" fontId="18" fillId="59" borderId="25" xfId="0" applyFont="1" applyFill="1" applyBorder="1" applyAlignment="1">
      <alignment horizontal="center" vertical="center" wrapText="1"/>
    </xf>
    <xf numFmtId="165" fontId="0" fillId="0" borderId="0" xfId="0" applyNumberFormat="1"/>
    <xf numFmtId="165" fontId="91" fillId="18" borderId="109" xfId="1" applyNumberFormat="1" applyFont="1" applyFill="1" applyBorder="1" applyAlignment="1">
      <alignment horizontal="center" vertical="center" wrapText="1"/>
    </xf>
    <xf numFmtId="165" fontId="18" fillId="0" borderId="24" xfId="0" applyNumberFormat="1" applyFont="1" applyBorder="1" applyAlignment="1">
      <alignment horizontal="center" vertical="center"/>
    </xf>
    <xf numFmtId="0" fontId="18" fillId="49" borderId="24" xfId="0" applyFont="1" applyFill="1" applyBorder="1" applyAlignment="1">
      <alignment horizontal="center" wrapText="1"/>
    </xf>
    <xf numFmtId="0" fontId="18" fillId="49" borderId="24" xfId="0" applyFont="1" applyFill="1" applyBorder="1" applyAlignment="1">
      <alignment horizontal="center" vertical="center" wrapText="1"/>
    </xf>
    <xf numFmtId="165" fontId="18" fillId="0" borderId="24" xfId="0" applyNumberFormat="1" applyFont="1" applyBorder="1" applyAlignment="1">
      <alignment horizontal="center"/>
    </xf>
    <xf numFmtId="10" fontId="18" fillId="0" borderId="24" xfId="0" applyNumberFormat="1" applyFont="1" applyBorder="1" applyAlignment="1">
      <alignment horizontal="center" vertical="center"/>
    </xf>
    <xf numFmtId="165" fontId="0" fillId="0" borderId="0" xfId="1" applyNumberFormat="1" applyFont="1" applyAlignment="1">
      <alignment horizontal="left"/>
    </xf>
    <xf numFmtId="165" fontId="6" fillId="0" borderId="0" xfId="1" applyNumberFormat="1" applyFont="1" applyAlignment="1">
      <alignment horizontal="left" wrapText="1"/>
    </xf>
    <xf numFmtId="0" fontId="18" fillId="59" borderId="24" xfId="0" applyFont="1" applyFill="1" applyBorder="1" applyAlignment="1">
      <alignment horizontal="center" wrapText="1"/>
    </xf>
    <xf numFmtId="0" fontId="18" fillId="61" borderId="24" xfId="0" applyFont="1" applyFill="1" applyBorder="1" applyAlignment="1">
      <alignment horizontal="center" wrapText="1"/>
    </xf>
    <xf numFmtId="165" fontId="92" fillId="19" borderId="24" xfId="0" applyNumberFormat="1" applyFont="1" applyFill="1" applyBorder="1" applyAlignment="1">
      <alignment horizontal="center" vertical="center"/>
    </xf>
    <xf numFmtId="0" fontId="0" fillId="19" borderId="24" xfId="0" applyFill="1" applyBorder="1"/>
    <xf numFmtId="165" fontId="18" fillId="0" borderId="24" xfId="1" applyNumberFormat="1" applyFont="1" applyBorder="1" applyAlignment="1">
      <alignment horizontal="center" vertical="center"/>
    </xf>
    <xf numFmtId="165" fontId="35" fillId="25" borderId="24" xfId="1" applyNumberFormat="1" applyFont="1" applyFill="1" applyBorder="1" applyAlignment="1">
      <alignment horizontal="center" vertical="center"/>
    </xf>
    <xf numFmtId="0" fontId="94" fillId="0" borderId="0" xfId="0" applyFont="1"/>
    <xf numFmtId="0" fontId="93" fillId="17" borderId="29" xfId="0" applyFont="1" applyFill="1" applyBorder="1" applyAlignment="1">
      <alignment horizontal="center" vertical="center" wrapText="1"/>
    </xf>
    <xf numFmtId="0" fontId="93" fillId="6" borderId="14" xfId="0" applyFont="1" applyFill="1" applyBorder="1" applyAlignment="1">
      <alignment horizontal="center" vertical="center" wrapText="1"/>
    </xf>
    <xf numFmtId="165" fontId="12" fillId="0" borderId="24" xfId="0" applyNumberFormat="1" applyFont="1" applyBorder="1" applyAlignment="1">
      <alignment horizontal="center" vertical="center"/>
    </xf>
    <xf numFmtId="165" fontId="95" fillId="0" borderId="29" xfId="0" applyNumberFormat="1" applyFont="1" applyBorder="1" applyAlignment="1">
      <alignment horizontal="center" vertical="center"/>
    </xf>
    <xf numFmtId="0" fontId="93" fillId="17" borderId="150" xfId="0" applyFont="1" applyFill="1" applyBorder="1" applyAlignment="1">
      <alignment horizontal="center" vertical="center" wrapText="1"/>
    </xf>
    <xf numFmtId="0" fontId="93" fillId="6" borderId="151" xfId="0" applyFont="1" applyFill="1" applyBorder="1" applyAlignment="1">
      <alignment horizontal="center" vertical="center" wrapText="1"/>
    </xf>
    <xf numFmtId="0" fontId="93" fillId="17" borderId="151" xfId="0" applyFont="1" applyFill="1" applyBorder="1" applyAlignment="1">
      <alignment horizontal="center" vertical="center" wrapText="1"/>
    </xf>
    <xf numFmtId="0" fontId="86" fillId="17" borderId="151" xfId="0" applyFont="1" applyFill="1" applyBorder="1" applyAlignment="1">
      <alignment horizontal="center" vertical="center" wrapText="1"/>
    </xf>
    <xf numFmtId="0" fontId="93" fillId="17" borderId="153" xfId="0" applyFont="1" applyFill="1" applyBorder="1" applyAlignment="1">
      <alignment horizontal="center" vertical="center" wrapText="1"/>
    </xf>
    <xf numFmtId="0" fontId="86" fillId="17" borderId="153" xfId="0" applyFont="1" applyFill="1" applyBorder="1" applyAlignment="1">
      <alignment horizontal="center" vertical="center" wrapText="1"/>
    </xf>
    <xf numFmtId="0" fontId="86" fillId="17" borderId="154" xfId="0" applyFont="1" applyFill="1" applyBorder="1" applyAlignment="1">
      <alignment horizontal="center" vertical="center" wrapText="1"/>
    </xf>
    <xf numFmtId="0" fontId="93" fillId="46" borderId="151" xfId="0" applyFont="1" applyFill="1" applyBorder="1" applyAlignment="1">
      <alignment horizontal="center" vertical="center" wrapText="1"/>
    </xf>
    <xf numFmtId="0" fontId="83" fillId="58" borderId="151" xfId="0" applyFont="1" applyFill="1" applyBorder="1" applyAlignment="1">
      <alignment horizontal="center" vertical="center" wrapText="1"/>
    </xf>
    <xf numFmtId="0" fontId="83" fillId="46" borderId="152" xfId="0" applyFont="1" applyFill="1" applyBorder="1" applyAlignment="1">
      <alignment horizontal="center" vertical="center" wrapText="1"/>
    </xf>
    <xf numFmtId="0" fontId="93" fillId="58" borderId="155" xfId="0" applyFont="1" applyFill="1" applyBorder="1" applyAlignment="1">
      <alignment horizontal="center" vertical="center" wrapText="1"/>
    </xf>
    <xf numFmtId="0" fontId="10" fillId="0" borderId="156" xfId="0" applyFont="1" applyBorder="1" applyAlignment="1">
      <alignment wrapText="1"/>
    </xf>
    <xf numFmtId="0" fontId="10" fillId="4" borderId="158" xfId="0" applyFont="1" applyFill="1" applyBorder="1" applyAlignment="1">
      <alignment horizontal="left" vertical="center" wrapText="1"/>
    </xf>
    <xf numFmtId="165" fontId="12" fillId="0" borderId="157" xfId="0" applyNumberFormat="1" applyFont="1" applyBorder="1" applyAlignment="1">
      <alignment horizontal="center" vertical="center"/>
    </xf>
    <xf numFmtId="0" fontId="10" fillId="4" borderId="159" xfId="0" applyFont="1" applyFill="1" applyBorder="1" applyAlignment="1">
      <alignment horizontal="left" vertical="center" wrapText="1"/>
    </xf>
    <xf numFmtId="9" fontId="13" fillId="0" borderId="160" xfId="0" applyNumberFormat="1" applyFont="1" applyBorder="1" applyAlignment="1">
      <alignment horizontal="center"/>
    </xf>
    <xf numFmtId="165" fontId="12" fillId="0" borderId="160" xfId="0" applyNumberFormat="1" applyFont="1" applyBorder="1" applyAlignment="1">
      <alignment horizontal="center" vertical="center"/>
    </xf>
    <xf numFmtId="165" fontId="12" fillId="0" borderId="161" xfId="0" applyNumberFormat="1" applyFont="1" applyBorder="1" applyAlignment="1">
      <alignment horizontal="center" vertical="center"/>
    </xf>
    <xf numFmtId="165" fontId="12" fillId="0" borderId="162" xfId="0" applyNumberFormat="1" applyFont="1" applyBorder="1" applyAlignment="1">
      <alignment horizontal="center" vertical="center"/>
    </xf>
    <xf numFmtId="165" fontId="95" fillId="0" borderId="163" xfId="0" applyNumberFormat="1" applyFont="1" applyBorder="1" applyAlignment="1">
      <alignment horizontal="center" vertical="center"/>
    </xf>
    <xf numFmtId="165" fontId="12" fillId="0" borderId="164" xfId="0" applyNumberFormat="1" applyFont="1" applyBorder="1" applyAlignment="1">
      <alignment horizontal="center" vertical="center"/>
    </xf>
    <xf numFmtId="0" fontId="86" fillId="17" borderId="152" xfId="0" applyFont="1" applyFill="1" applyBorder="1" applyAlignment="1">
      <alignment horizontal="center" vertical="center" wrapText="1"/>
    </xf>
    <xf numFmtId="165" fontId="18" fillId="62" borderId="0" xfId="0" applyNumberFormat="1" applyFont="1" applyFill="1" applyAlignment="1">
      <alignment horizontal="center" vertical="center"/>
    </xf>
    <xf numFmtId="165" fontId="0" fillId="62" borderId="24" xfId="0" applyNumberFormat="1" applyFill="1" applyBorder="1" applyAlignment="1">
      <alignment horizontal="center" vertical="center"/>
    </xf>
    <xf numFmtId="0" fontId="18" fillId="0" borderId="149" xfId="0" applyFont="1" applyBorder="1"/>
    <xf numFmtId="0" fontId="18" fillId="49" borderId="149" xfId="0" applyFont="1" applyFill="1" applyBorder="1" applyAlignment="1">
      <alignment horizontal="center" wrapText="1"/>
    </xf>
    <xf numFmtId="0" fontId="35" fillId="0" borderId="149" xfId="0" applyFont="1" applyBorder="1" applyAlignment="1">
      <alignment wrapText="1"/>
    </xf>
    <xf numFmtId="0" fontId="43" fillId="0" borderId="149" xfId="0" applyFont="1" applyBorder="1" applyAlignment="1">
      <alignment wrapText="1"/>
    </xf>
    <xf numFmtId="9" fontId="73" fillId="8" borderId="25" xfId="1" applyFont="1" applyFill="1" applyBorder="1" applyAlignment="1">
      <alignment horizontal="center" vertical="center" wrapText="1"/>
    </xf>
    <xf numFmtId="168" fontId="0" fillId="0" borderId="0" xfId="0" applyNumberFormat="1"/>
    <xf numFmtId="165" fontId="18" fillId="62" borderId="24" xfId="0" applyNumberFormat="1" applyFont="1" applyFill="1" applyBorder="1" applyAlignment="1">
      <alignment horizontal="center" vertical="center"/>
    </xf>
    <xf numFmtId="165" fontId="79" fillId="9" borderId="9" xfId="0" applyNumberFormat="1" applyFont="1" applyFill="1" applyBorder="1" applyAlignment="1">
      <alignment horizontal="center" vertical="center" wrapText="1"/>
    </xf>
    <xf numFmtId="165" fontId="79" fillId="6" borderId="26" xfId="0" applyNumberFormat="1" applyFont="1" applyFill="1" applyBorder="1" applyAlignment="1">
      <alignment horizontal="center" vertical="center" wrapText="1"/>
    </xf>
    <xf numFmtId="165" fontId="79" fillId="6" borderId="18" xfId="0" applyNumberFormat="1" applyFont="1" applyFill="1" applyBorder="1" applyAlignment="1">
      <alignment horizontal="center" vertical="center" wrapText="1"/>
    </xf>
    <xf numFmtId="165" fontId="79" fillId="9" borderId="77" xfId="0" applyNumberFormat="1" applyFont="1" applyFill="1" applyBorder="1" applyAlignment="1">
      <alignment horizontal="center" vertical="center" wrapText="1"/>
    </xf>
    <xf numFmtId="165" fontId="79" fillId="31" borderId="18" xfId="0" applyNumberFormat="1" applyFont="1" applyFill="1" applyBorder="1" applyAlignment="1">
      <alignment horizontal="center" vertical="center" wrapText="1"/>
    </xf>
    <xf numFmtId="10" fontId="73" fillId="4" borderId="45" xfId="0" applyNumberFormat="1" applyFont="1" applyFill="1" applyBorder="1" applyAlignment="1">
      <alignment horizontal="center" vertical="center" wrapText="1"/>
    </xf>
    <xf numFmtId="43" fontId="72" fillId="0" borderId="45" xfId="3" applyFont="1" applyBorder="1" applyAlignment="1">
      <alignment horizontal="center" vertical="center" wrapText="1"/>
    </xf>
    <xf numFmtId="165" fontId="79" fillId="20" borderId="14" xfId="0" applyNumberFormat="1" applyFont="1" applyFill="1" applyBorder="1" applyAlignment="1">
      <alignment horizontal="center" vertical="center"/>
    </xf>
    <xf numFmtId="165" fontId="79" fillId="20" borderId="45" xfId="0" applyNumberFormat="1" applyFont="1" applyFill="1" applyBorder="1" applyAlignment="1">
      <alignment horizontal="center" vertical="center"/>
    </xf>
    <xf numFmtId="165" fontId="79" fillId="20" borderId="24" xfId="0" applyNumberFormat="1" applyFont="1" applyFill="1" applyBorder="1" applyAlignment="1">
      <alignment horizontal="center" vertical="center"/>
    </xf>
    <xf numFmtId="165" fontId="79" fillId="45" borderId="14" xfId="0" applyNumberFormat="1" applyFont="1" applyFill="1" applyBorder="1" applyAlignment="1">
      <alignment horizontal="center" vertical="center"/>
    </xf>
    <xf numFmtId="165" fontId="79" fillId="45" borderId="45" xfId="0" applyNumberFormat="1" applyFont="1" applyFill="1" applyBorder="1" applyAlignment="1">
      <alignment horizontal="center" vertical="center"/>
    </xf>
    <xf numFmtId="10" fontId="79" fillId="31" borderId="73" xfId="0" applyNumberFormat="1" applyFont="1" applyFill="1" applyBorder="1" applyAlignment="1">
      <alignment horizontal="center" vertical="center" wrapText="1"/>
    </xf>
    <xf numFmtId="165" fontId="79" fillId="20" borderId="29" xfId="0" applyNumberFormat="1" applyFont="1" applyFill="1" applyBorder="1" applyAlignment="1">
      <alignment horizontal="center" vertical="center"/>
    </xf>
    <xf numFmtId="165" fontId="73" fillId="57" borderId="25" xfId="0" applyNumberFormat="1" applyFont="1" applyFill="1" applyBorder="1" applyAlignment="1">
      <alignment horizontal="center" vertical="center" wrapText="1"/>
    </xf>
    <xf numFmtId="165" fontId="58" fillId="57" borderId="24" xfId="0" applyNumberFormat="1" applyFont="1" applyFill="1" applyBorder="1" applyAlignment="1">
      <alignment horizontal="center" vertical="center" wrapText="1"/>
    </xf>
    <xf numFmtId="164" fontId="84" fillId="0" borderId="24" xfId="0" applyNumberFormat="1" applyFont="1" applyBorder="1" applyAlignment="1">
      <alignment horizontal="center" vertical="center"/>
    </xf>
    <xf numFmtId="164" fontId="23" fillId="47" borderId="99" xfId="0" applyNumberFormat="1" applyFont="1" applyFill="1" applyBorder="1" applyAlignment="1">
      <alignment horizontal="center" vertical="center"/>
    </xf>
    <xf numFmtId="10" fontId="79" fillId="6" borderId="24" xfId="0" applyNumberFormat="1" applyFont="1" applyFill="1" applyBorder="1" applyAlignment="1">
      <alignment horizontal="center" vertical="center" wrapText="1"/>
    </xf>
    <xf numFmtId="165" fontId="23" fillId="47" borderId="99" xfId="0" applyNumberFormat="1" applyFont="1" applyFill="1" applyBorder="1" applyAlignment="1">
      <alignment horizontal="center" vertical="center"/>
    </xf>
    <xf numFmtId="165" fontId="83" fillId="8" borderId="24" xfId="1" applyNumberFormat="1" applyFont="1" applyFill="1" applyBorder="1" applyAlignment="1">
      <alignment horizontal="center" vertical="center" wrapText="1"/>
    </xf>
    <xf numFmtId="0" fontId="96" fillId="0" borderId="129" xfId="0" applyFont="1" applyBorder="1" applyAlignment="1">
      <alignment wrapText="1"/>
    </xf>
    <xf numFmtId="0" fontId="96" fillId="0" borderId="90" xfId="0" applyFont="1" applyBorder="1" applyAlignment="1">
      <alignment vertical="center" wrapText="1"/>
    </xf>
    <xf numFmtId="9" fontId="97" fillId="0" borderId="112" xfId="0" applyNumberFormat="1" applyFont="1" applyBorder="1" applyAlignment="1">
      <alignment horizontal="center" vertical="center" wrapText="1"/>
    </xf>
    <xf numFmtId="0" fontId="98" fillId="0" borderId="51" xfId="0" applyFont="1" applyBorder="1"/>
    <xf numFmtId="0" fontId="99" fillId="0" borderId="119" xfId="0" applyFont="1" applyBorder="1"/>
    <xf numFmtId="0" fontId="99" fillId="0" borderId="51" xfId="0" applyFont="1" applyBorder="1"/>
    <xf numFmtId="10" fontId="97" fillId="34" borderId="26" xfId="0" applyNumberFormat="1" applyFont="1" applyFill="1" applyBorder="1" applyAlignment="1">
      <alignment horizontal="center" vertical="center" wrapText="1"/>
    </xf>
    <xf numFmtId="10" fontId="97" fillId="6" borderId="18" xfId="0" applyNumberFormat="1" applyFont="1" applyFill="1" applyBorder="1" applyAlignment="1">
      <alignment horizontal="center" vertical="center" wrapText="1"/>
    </xf>
    <xf numFmtId="10" fontId="97" fillId="6" borderId="25" xfId="0" applyNumberFormat="1" applyFont="1" applyFill="1" applyBorder="1" applyAlignment="1">
      <alignment horizontal="center" vertical="center" wrapText="1"/>
    </xf>
    <xf numFmtId="0" fontId="96" fillId="0" borderId="71" xfId="0" applyFont="1" applyBorder="1" applyAlignment="1">
      <alignment horizontal="center" wrapText="1"/>
    </xf>
    <xf numFmtId="0" fontId="96" fillId="0" borderId="25" xfId="0" applyFont="1" applyBorder="1" applyAlignment="1">
      <alignment wrapText="1"/>
    </xf>
    <xf numFmtId="0" fontId="96" fillId="0" borderId="71" xfId="0" applyFont="1" applyBorder="1" applyAlignment="1">
      <alignment wrapText="1"/>
    </xf>
    <xf numFmtId="0" fontId="99" fillId="0" borderId="0" xfId="0" applyFont="1"/>
    <xf numFmtId="165" fontId="0" fillId="0" borderId="0" xfId="1" applyNumberFormat="1" applyFont="1"/>
    <xf numFmtId="0" fontId="0" fillId="18" borderId="0" xfId="0" applyFill="1"/>
    <xf numFmtId="165" fontId="0" fillId="18" borderId="0" xfId="1" applyNumberFormat="1" applyFont="1" applyFill="1"/>
    <xf numFmtId="0" fontId="104" fillId="59" borderId="24" xfId="0" applyFont="1" applyFill="1" applyBorder="1" applyAlignment="1">
      <alignment horizontal="center" vertical="center" wrapText="1"/>
    </xf>
    <xf numFmtId="0" fontId="102" fillId="0" borderId="24" xfId="0" applyFont="1" applyBorder="1" applyAlignment="1">
      <alignment wrapText="1"/>
    </xf>
    <xf numFmtId="172" fontId="0" fillId="0" borderId="24" xfId="0" applyNumberFormat="1" applyBorder="1"/>
    <xf numFmtId="171" fontId="102" fillId="0" borderId="24" xfId="0" applyNumberFormat="1" applyFont="1" applyBorder="1"/>
    <xf numFmtId="172" fontId="102" fillId="0" borderId="24" xfId="0" applyNumberFormat="1" applyFont="1" applyBorder="1"/>
    <xf numFmtId="0" fontId="102" fillId="0" borderId="24" xfId="0" applyFont="1" applyBorder="1"/>
    <xf numFmtId="171" fontId="103" fillId="0" borderId="24" xfId="0" applyNumberFormat="1" applyFont="1" applyBorder="1"/>
    <xf numFmtId="172" fontId="103" fillId="0" borderId="24" xfId="0" applyNumberFormat="1" applyFont="1" applyBorder="1"/>
    <xf numFmtId="0" fontId="103" fillId="0" borderId="24" xfId="0" applyFont="1" applyBorder="1"/>
    <xf numFmtId="172" fontId="102" fillId="18" borderId="24" xfId="0" applyNumberFormat="1" applyFont="1" applyFill="1" applyBorder="1"/>
    <xf numFmtId="165" fontId="102" fillId="0" borderId="24" xfId="1" applyNumberFormat="1" applyFont="1" applyBorder="1"/>
    <xf numFmtId="165" fontId="0" fillId="0" borderId="24" xfId="1" applyNumberFormat="1" applyFont="1" applyBorder="1"/>
    <xf numFmtId="0" fontId="0" fillId="18" borderId="24" xfId="0" applyFill="1" applyBorder="1"/>
    <xf numFmtId="171" fontId="102" fillId="18" borderId="24" xfId="0" applyNumberFormat="1" applyFont="1" applyFill="1" applyBorder="1"/>
    <xf numFmtId="165" fontId="0" fillId="0" borderId="24" xfId="0" applyNumberFormat="1" applyBorder="1"/>
    <xf numFmtId="10" fontId="102" fillId="0" borderId="24" xfId="0" applyNumberFormat="1" applyFont="1" applyBorder="1"/>
    <xf numFmtId="10" fontId="0" fillId="0" borderId="24" xfId="0" applyNumberFormat="1" applyBorder="1"/>
    <xf numFmtId="171" fontId="103" fillId="18" borderId="24" xfId="0" applyNumberFormat="1" applyFont="1" applyFill="1" applyBorder="1"/>
    <xf numFmtId="0" fontId="103" fillId="18" borderId="24" xfId="0" applyFont="1" applyFill="1" applyBorder="1"/>
    <xf numFmtId="0" fontId="105" fillId="0" borderId="24" xfId="0" applyFont="1" applyBorder="1" applyAlignment="1">
      <alignment wrapText="1"/>
    </xf>
    <xf numFmtId="0" fontId="106" fillId="0" borderId="24" xfId="0" applyFont="1" applyBorder="1" applyAlignment="1">
      <alignment wrapText="1"/>
    </xf>
    <xf numFmtId="0" fontId="102" fillId="0" borderId="47" xfId="0" applyFont="1" applyBorder="1" applyAlignment="1">
      <alignment wrapText="1"/>
    </xf>
    <xf numFmtId="0" fontId="102" fillId="0" borderId="34" xfId="0" applyFont="1" applyBorder="1" applyAlignment="1">
      <alignment wrapText="1"/>
    </xf>
    <xf numFmtId="0" fontId="104" fillId="28" borderId="31" xfId="0" applyFont="1" applyFill="1" applyBorder="1" applyAlignment="1">
      <alignment horizontal="center" vertical="center" wrapText="1"/>
    </xf>
    <xf numFmtId="0" fontId="104" fillId="24" borderId="24" xfId="0" applyFont="1" applyFill="1" applyBorder="1" applyAlignment="1">
      <alignment vertical="center" wrapText="1"/>
    </xf>
    <xf numFmtId="172" fontId="18" fillId="24" borderId="24" xfId="0" applyNumberFormat="1" applyFont="1" applyFill="1" applyBorder="1" applyAlignment="1">
      <alignment vertical="center"/>
    </xf>
    <xf numFmtId="0" fontId="18" fillId="24" borderId="24" xfId="0" applyFont="1" applyFill="1" applyBorder="1" applyAlignment="1">
      <alignment vertical="center"/>
    </xf>
    <xf numFmtId="172" fontId="105" fillId="0" borderId="24" xfId="0" applyNumberFormat="1" applyFont="1" applyBorder="1"/>
    <xf numFmtId="0" fontId="105" fillId="0" borderId="24" xfId="0" applyFont="1" applyBorder="1"/>
    <xf numFmtId="0" fontId="109" fillId="0" borderId="0" xfId="0" applyFont="1"/>
    <xf numFmtId="165" fontId="45" fillId="64" borderId="73" xfId="0" applyNumberFormat="1" applyFont="1" applyFill="1" applyBorder="1" applyAlignment="1">
      <alignment horizontal="center" vertical="center" wrapText="1"/>
    </xf>
    <xf numFmtId="165" fontId="45" fillId="64" borderId="74" xfId="0" applyNumberFormat="1" applyFont="1" applyFill="1" applyBorder="1" applyAlignment="1">
      <alignment horizontal="center" vertical="center" wrapText="1"/>
    </xf>
    <xf numFmtId="165" fontId="45" fillId="64" borderId="75" xfId="0" applyNumberFormat="1" applyFont="1" applyFill="1" applyBorder="1" applyAlignment="1">
      <alignment horizontal="center" vertical="center" wrapText="1"/>
    </xf>
    <xf numFmtId="165" fontId="104" fillId="62" borderId="25" xfId="0" applyNumberFormat="1" applyFont="1" applyFill="1" applyBorder="1" applyAlignment="1">
      <alignment horizontal="center" vertical="center" wrapText="1"/>
    </xf>
    <xf numFmtId="165" fontId="107" fillId="62" borderId="25" xfId="0" applyNumberFormat="1" applyFont="1" applyFill="1" applyBorder="1" applyAlignment="1">
      <alignment horizontal="center" vertical="center" wrapText="1"/>
    </xf>
    <xf numFmtId="165" fontId="104" fillId="62" borderId="24" xfId="0" applyNumberFormat="1" applyFont="1" applyFill="1" applyBorder="1" applyAlignment="1">
      <alignment vertical="center" wrapText="1"/>
    </xf>
    <xf numFmtId="165" fontId="108" fillId="62" borderId="25" xfId="0" applyNumberFormat="1" applyFont="1" applyFill="1" applyBorder="1" applyAlignment="1">
      <alignment horizontal="center" vertical="center" wrapText="1"/>
    </xf>
    <xf numFmtId="0" fontId="57" fillId="30" borderId="10" xfId="0" applyFont="1" applyFill="1" applyBorder="1" applyAlignment="1">
      <alignment vertical="center" wrapText="1"/>
    </xf>
    <xf numFmtId="164" fontId="24" fillId="0" borderId="0" xfId="1" applyNumberFormat="1" applyFont="1" applyAlignment="1"/>
    <xf numFmtId="165" fontId="110" fillId="65" borderId="24" xfId="0" applyNumberFormat="1" applyFont="1" applyFill="1" applyBorder="1" applyAlignment="1">
      <alignment horizontal="center" vertical="center"/>
    </xf>
    <xf numFmtId="0" fontId="59" fillId="18" borderId="24" xfId="0" applyFont="1" applyFill="1" applyBorder="1"/>
    <xf numFmtId="43" fontId="57" fillId="18" borderId="24" xfId="3" applyFont="1" applyFill="1" applyBorder="1" applyAlignment="1">
      <alignment horizontal="center" vertical="center" wrapText="1"/>
    </xf>
    <xf numFmtId="0" fontId="57" fillId="0" borderId="21" xfId="0" applyFont="1" applyBorder="1" applyAlignment="1">
      <alignment vertical="center" wrapText="1"/>
    </xf>
    <xf numFmtId="167" fontId="72" fillId="21" borderId="14" xfId="0" applyNumberFormat="1" applyFont="1" applyFill="1" applyBorder="1" applyAlignment="1">
      <alignment horizontal="center" vertical="center" wrapText="1"/>
    </xf>
    <xf numFmtId="0" fontId="57" fillId="18" borderId="24" xfId="0" applyFont="1" applyFill="1" applyBorder="1" applyAlignment="1">
      <alignment wrapText="1"/>
    </xf>
    <xf numFmtId="9" fontId="73" fillId="0" borderId="26" xfId="0" applyNumberFormat="1" applyFont="1" applyBorder="1" applyAlignment="1">
      <alignment horizontal="center" vertical="center" wrapText="1"/>
    </xf>
    <xf numFmtId="165" fontId="21" fillId="0" borderId="0" xfId="0" applyNumberFormat="1" applyFont="1"/>
    <xf numFmtId="10" fontId="18" fillId="19" borderId="24" xfId="0" applyNumberFormat="1" applyFont="1" applyFill="1" applyBorder="1" applyAlignment="1">
      <alignment horizontal="center"/>
    </xf>
    <xf numFmtId="165" fontId="0" fillId="19" borderId="24" xfId="1" applyNumberFormat="1" applyFont="1" applyFill="1" applyBorder="1" applyAlignment="1">
      <alignment horizontal="center" vertical="center"/>
    </xf>
    <xf numFmtId="165" fontId="18" fillId="25" borderId="24" xfId="0" applyNumberFormat="1" applyFont="1" applyFill="1" applyBorder="1" applyAlignment="1">
      <alignment horizontal="center"/>
    </xf>
    <xf numFmtId="165" fontId="0" fillId="25" borderId="24" xfId="1" applyNumberFormat="1" applyFont="1" applyFill="1" applyBorder="1" applyAlignment="1">
      <alignment horizontal="center"/>
    </xf>
    <xf numFmtId="165" fontId="18" fillId="25" borderId="24" xfId="1" applyNumberFormat="1" applyFont="1" applyFill="1" applyBorder="1" applyAlignment="1">
      <alignment horizontal="center" vertical="center"/>
    </xf>
    <xf numFmtId="165" fontId="109" fillId="25" borderId="24" xfId="0" applyNumberFormat="1" applyFont="1" applyFill="1" applyBorder="1" applyAlignment="1">
      <alignment horizontal="center" vertical="center"/>
    </xf>
    <xf numFmtId="165" fontId="72" fillId="0" borderId="50" xfId="0" applyNumberFormat="1" applyFont="1" applyBorder="1" applyAlignment="1">
      <alignment horizontal="center" vertical="center" wrapText="1"/>
    </xf>
    <xf numFmtId="0" fontId="57" fillId="43" borderId="10" xfId="0" applyFont="1" applyFill="1" applyBorder="1" applyAlignment="1">
      <alignment vertical="center" wrapText="1"/>
    </xf>
    <xf numFmtId="165" fontId="72" fillId="19" borderId="9" xfId="0" applyNumberFormat="1" applyFont="1" applyFill="1" applyBorder="1" applyAlignment="1">
      <alignment horizontal="center" vertical="center" wrapText="1"/>
    </xf>
    <xf numFmtId="0" fontId="58" fillId="25" borderId="27" xfId="0" applyFont="1" applyFill="1" applyBorder="1" applyAlignment="1">
      <alignment vertical="center" wrapText="1"/>
    </xf>
    <xf numFmtId="0" fontId="58" fillId="18" borderId="27" xfId="0" applyFont="1" applyFill="1" applyBorder="1" applyAlignment="1">
      <alignment vertical="center" wrapText="1"/>
    </xf>
    <xf numFmtId="0" fontId="48" fillId="19" borderId="47" xfId="0" applyFont="1" applyFill="1" applyBorder="1" applyAlignment="1">
      <alignment wrapText="1"/>
    </xf>
    <xf numFmtId="9" fontId="58" fillId="19" borderId="115" xfId="0" applyNumberFormat="1" applyFont="1" applyFill="1" applyBorder="1" applyAlignment="1">
      <alignment horizontal="center" vertical="center" wrapText="1"/>
    </xf>
    <xf numFmtId="0" fontId="72" fillId="30" borderId="56" xfId="0" applyFont="1" applyFill="1" applyBorder="1" applyAlignment="1">
      <alignment vertical="center" wrapText="1"/>
    </xf>
    <xf numFmtId="3" fontId="74" fillId="21" borderId="24" xfId="0" applyNumberFormat="1" applyFont="1" applyFill="1" applyBorder="1" applyAlignment="1">
      <alignment horizontal="center" vertical="center" wrapText="1"/>
    </xf>
    <xf numFmtId="0" fontId="57" fillId="30" borderId="56" xfId="0" applyFont="1" applyFill="1" applyBorder="1" applyAlignment="1">
      <alignment vertical="center" wrapText="1"/>
    </xf>
    <xf numFmtId="0" fontId="57" fillId="30" borderId="55" xfId="0" applyFont="1" applyFill="1" applyBorder="1" applyAlignment="1">
      <alignment vertical="center" wrapText="1"/>
    </xf>
    <xf numFmtId="9" fontId="58" fillId="25" borderId="47" xfId="0" applyNumberFormat="1" applyFont="1" applyFill="1" applyBorder="1" applyAlignment="1">
      <alignment horizontal="left" vertical="center" wrapText="1"/>
    </xf>
    <xf numFmtId="0" fontId="57" fillId="0" borderId="31" xfId="0" applyFont="1" applyBorder="1" applyAlignment="1">
      <alignment wrapText="1"/>
    </xf>
    <xf numFmtId="0" fontId="57" fillId="30" borderId="16" xfId="0" applyFont="1" applyFill="1" applyBorder="1" applyAlignment="1">
      <alignment vertical="center" wrapText="1"/>
    </xf>
    <xf numFmtId="0" fontId="57" fillId="53" borderId="24" xfId="0" applyFont="1" applyFill="1" applyBorder="1" applyAlignment="1">
      <alignment horizontal="center" vertical="center" wrapText="1"/>
    </xf>
    <xf numFmtId="10" fontId="83" fillId="32" borderId="24" xfId="0" applyNumberFormat="1" applyFont="1" applyFill="1" applyBorder="1" applyAlignment="1">
      <alignment horizontal="center" vertical="center" wrapText="1"/>
    </xf>
    <xf numFmtId="10" fontId="72" fillId="0" borderId="14" xfId="1" applyNumberFormat="1" applyFont="1" applyBorder="1" applyAlignment="1">
      <alignment horizontal="center" vertical="center" wrapText="1"/>
    </xf>
    <xf numFmtId="44" fontId="57" fillId="0" borderId="24" xfId="4" applyFont="1" applyBorder="1" applyAlignment="1">
      <alignment vertical="center" wrapText="1"/>
    </xf>
    <xf numFmtId="165" fontId="72" fillId="21" borderId="14" xfId="1" applyNumberFormat="1" applyFont="1" applyFill="1" applyBorder="1" applyAlignment="1">
      <alignment horizontal="center" vertical="center" wrapText="1"/>
    </xf>
    <xf numFmtId="2" fontId="59" fillId="0" borderId="24" xfId="0" applyNumberFormat="1" applyFont="1" applyBorder="1" applyAlignment="1">
      <alignment horizontal="center" vertical="center"/>
    </xf>
    <xf numFmtId="2" fontId="59" fillId="21" borderId="24" xfId="0" applyNumberFormat="1" applyFont="1" applyFill="1" applyBorder="1" applyAlignment="1">
      <alignment horizontal="center" vertical="center"/>
    </xf>
    <xf numFmtId="165" fontId="57" fillId="19" borderId="24" xfId="0" applyNumberFormat="1" applyFont="1" applyFill="1" applyBorder="1" applyAlignment="1">
      <alignment horizontal="center" vertical="center" wrapText="1"/>
    </xf>
    <xf numFmtId="165" fontId="0" fillId="66" borderId="24" xfId="0" applyNumberFormat="1" applyFill="1" applyBorder="1" applyAlignment="1">
      <alignment horizontal="center" vertical="center"/>
    </xf>
    <xf numFmtId="0" fontId="72" fillId="21" borderId="136" xfId="0" applyFont="1" applyFill="1" applyBorder="1" applyAlignment="1">
      <alignment horizontal="center" vertical="center" wrapText="1"/>
    </xf>
    <xf numFmtId="0" fontId="74" fillId="21" borderId="137" xfId="0" applyFont="1" applyFill="1" applyBorder="1" applyAlignment="1">
      <alignment horizontal="center" vertical="center" wrapText="1"/>
    </xf>
    <xf numFmtId="0" fontId="72" fillId="18" borderId="13" xfId="0" applyFont="1" applyFill="1" applyBorder="1" applyAlignment="1">
      <alignment horizontal="center" vertical="center" wrapText="1"/>
    </xf>
    <xf numFmtId="0" fontId="74" fillId="21" borderId="0" xfId="0" applyFont="1" applyFill="1" applyAlignment="1">
      <alignment horizontal="center" vertical="center" wrapText="1"/>
    </xf>
    <xf numFmtId="0" fontId="74" fillId="21" borderId="71" xfId="0" applyFont="1" applyFill="1" applyBorder="1" applyAlignment="1">
      <alignment horizontal="center" vertical="center" wrapText="1"/>
    </xf>
    <xf numFmtId="167" fontId="72" fillId="21" borderId="9" xfId="0" applyNumberFormat="1" applyFont="1" applyFill="1" applyBorder="1" applyAlignment="1">
      <alignment horizontal="center" vertical="center" wrapText="1"/>
    </xf>
    <xf numFmtId="0" fontId="72" fillId="21" borderId="134" xfId="0" applyFont="1" applyFill="1" applyBorder="1" applyAlignment="1">
      <alignment horizontal="center" vertical="center" wrapText="1"/>
    </xf>
    <xf numFmtId="0" fontId="72" fillId="24" borderId="24" xfId="0" applyFont="1" applyFill="1" applyBorder="1" applyAlignment="1">
      <alignment horizontal="center" vertical="center" wrapText="1"/>
    </xf>
    <xf numFmtId="0" fontId="72" fillId="0" borderId="47" xfId="0" applyFont="1" applyBorder="1" applyAlignment="1">
      <alignment horizontal="center" vertical="center" wrapText="1"/>
    </xf>
    <xf numFmtId="165" fontId="73" fillId="32" borderId="88" xfId="0" applyNumberFormat="1" applyFont="1" applyFill="1" applyBorder="1" applyAlignment="1">
      <alignment horizontal="center" vertical="center" wrapText="1"/>
    </xf>
    <xf numFmtId="164" fontId="113" fillId="0" borderId="0" xfId="1" applyNumberFormat="1" applyFont="1" applyAlignment="1"/>
    <xf numFmtId="0" fontId="21" fillId="0" borderId="24" xfId="0" applyFont="1" applyBorder="1" applyAlignment="1">
      <alignment horizontal="center"/>
    </xf>
    <xf numFmtId="0" fontId="35" fillId="49" borderId="24" xfId="0" applyFont="1" applyFill="1" applyBorder="1" applyAlignment="1">
      <alignment horizontal="center" vertical="center" wrapText="1"/>
    </xf>
    <xf numFmtId="165" fontId="35" fillId="0" borderId="0" xfId="0" applyNumberFormat="1" applyFont="1" applyAlignment="1">
      <alignment horizontal="center" vertical="center"/>
    </xf>
    <xf numFmtId="165" fontId="35" fillId="0" borderId="24" xfId="0" applyNumberFormat="1" applyFont="1" applyBorder="1" applyAlignment="1">
      <alignment horizontal="center" vertical="center"/>
    </xf>
    <xf numFmtId="0" fontId="21" fillId="0" borderId="24" xfId="0" applyFont="1" applyBorder="1" applyAlignment="1">
      <alignment wrapText="1"/>
    </xf>
    <xf numFmtId="165" fontId="21" fillId="0" borderId="24" xfId="0" applyNumberFormat="1" applyFont="1" applyBorder="1" applyAlignment="1">
      <alignment horizontal="center" vertical="center"/>
    </xf>
    <xf numFmtId="165" fontId="21" fillId="25" borderId="24" xfId="0" applyNumberFormat="1" applyFont="1" applyFill="1" applyBorder="1" applyAlignment="1">
      <alignment horizontal="center" vertical="center"/>
    </xf>
    <xf numFmtId="165" fontId="0" fillId="66" borderId="24" xfId="1" applyNumberFormat="1" applyFont="1" applyFill="1" applyBorder="1" applyAlignment="1">
      <alignment horizontal="center" vertical="center"/>
    </xf>
    <xf numFmtId="165" fontId="18" fillId="66" borderId="24" xfId="0" applyNumberFormat="1" applyFont="1" applyFill="1" applyBorder="1" applyAlignment="1">
      <alignment horizontal="center" vertical="center"/>
    </xf>
    <xf numFmtId="165" fontId="79" fillId="9" borderId="25" xfId="0" applyNumberFormat="1" applyFont="1" applyFill="1" applyBorder="1" applyAlignment="1">
      <alignment horizontal="center" vertical="center" wrapText="1"/>
    </xf>
    <xf numFmtId="165" fontId="79" fillId="6" borderId="43" xfId="0" applyNumberFormat="1" applyFont="1" applyFill="1" applyBorder="1" applyAlignment="1">
      <alignment horizontal="center" vertical="center" wrapText="1"/>
    </xf>
    <xf numFmtId="165" fontId="79" fillId="9" borderId="43" xfId="0" applyNumberFormat="1" applyFont="1" applyFill="1" applyBorder="1" applyAlignment="1">
      <alignment horizontal="center" vertical="center" wrapText="1"/>
    </xf>
    <xf numFmtId="173" fontId="41" fillId="0" borderId="0" xfId="1" applyNumberFormat="1" applyFont="1" applyAlignment="1"/>
    <xf numFmtId="173" fontId="114" fillId="0" borderId="0" xfId="0" applyNumberFormat="1" applyFont="1"/>
    <xf numFmtId="0" fontId="4" fillId="0" borderId="0" xfId="0" applyFont="1" applyAlignment="1">
      <alignment vertical="center" wrapText="1"/>
    </xf>
    <xf numFmtId="0" fontId="72" fillId="19" borderId="44" xfId="0" applyFont="1" applyFill="1" applyBorder="1" applyAlignment="1">
      <alignment horizontal="center" vertical="center" wrapText="1"/>
    </xf>
    <xf numFmtId="0" fontId="28" fillId="0" borderId="35" xfId="0" applyFont="1" applyBorder="1" applyAlignment="1">
      <alignment horizontal="justify" vertical="center" wrapText="1"/>
    </xf>
    <xf numFmtId="43" fontId="0" fillId="0" borderId="0" xfId="3" applyFont="1" applyAlignment="1"/>
    <xf numFmtId="10" fontId="79" fillId="9" borderId="77" xfId="0" applyNumberFormat="1" applyFont="1" applyFill="1" applyBorder="1" applyAlignment="1">
      <alignment horizontal="center" vertical="center" wrapText="1"/>
    </xf>
    <xf numFmtId="10" fontId="79" fillId="9" borderId="43" xfId="0" applyNumberFormat="1" applyFont="1" applyFill="1" applyBorder="1" applyAlignment="1">
      <alignment horizontal="center" vertical="center" wrapText="1"/>
    </xf>
    <xf numFmtId="10" fontId="79" fillId="9" borderId="24" xfId="0" applyNumberFormat="1" applyFont="1" applyFill="1" applyBorder="1" applyAlignment="1">
      <alignment horizontal="center" vertical="center" wrapText="1"/>
    </xf>
    <xf numFmtId="0" fontId="93" fillId="17" borderId="24" xfId="0" applyFont="1" applyFill="1" applyBorder="1" applyAlignment="1">
      <alignment horizontal="center" vertical="center" wrapText="1"/>
    </xf>
    <xf numFmtId="0" fontId="86" fillId="17" borderId="24" xfId="0" applyFont="1" applyFill="1" applyBorder="1" applyAlignment="1">
      <alignment horizontal="center" vertical="center" wrapText="1"/>
    </xf>
    <xf numFmtId="0" fontId="10" fillId="0" borderId="24" xfId="0" applyFont="1" applyBorder="1" applyAlignment="1">
      <alignment wrapText="1"/>
    </xf>
    <xf numFmtId="10" fontId="115" fillId="0" borderId="24" xfId="0" applyNumberFormat="1" applyFont="1" applyBorder="1" applyAlignment="1">
      <alignment horizontal="center" vertical="center"/>
    </xf>
    <xf numFmtId="10" fontId="115" fillId="0" borderId="24" xfId="1" applyNumberFormat="1" applyFont="1" applyBorder="1" applyAlignment="1">
      <alignment horizontal="center" vertical="center"/>
    </xf>
    <xf numFmtId="0" fontId="10" fillId="4" borderId="24" xfId="0" applyFont="1" applyFill="1" applyBorder="1" applyAlignment="1">
      <alignment horizontal="left" vertical="center" wrapText="1"/>
    </xf>
    <xf numFmtId="10" fontId="116" fillId="0" borderId="24" xfId="0" applyNumberFormat="1" applyFont="1" applyBorder="1" applyAlignment="1">
      <alignment horizontal="center" vertical="center"/>
    </xf>
    <xf numFmtId="10" fontId="117" fillId="0" borderId="0" xfId="1" applyNumberFormat="1" applyFont="1" applyAlignment="1">
      <alignment horizontal="center"/>
    </xf>
    <xf numFmtId="9" fontId="58" fillId="25" borderId="116" xfId="0" applyNumberFormat="1" applyFont="1" applyFill="1" applyBorder="1" applyAlignment="1">
      <alignment horizontal="center" vertical="center" wrapText="1"/>
    </xf>
    <xf numFmtId="0" fontId="119" fillId="0" borderId="166" xfId="0" applyFont="1" applyBorder="1" applyAlignment="1">
      <alignment horizontal="center" vertical="center"/>
    </xf>
    <xf numFmtId="0" fontId="119" fillId="0" borderId="167" xfId="0" applyFont="1" applyBorder="1" applyAlignment="1">
      <alignment horizontal="center" vertical="center"/>
    </xf>
    <xf numFmtId="0" fontId="119" fillId="0" borderId="168" xfId="0" applyFont="1" applyBorder="1" applyAlignment="1">
      <alignment horizontal="center" vertical="center"/>
    </xf>
    <xf numFmtId="0" fontId="119" fillId="0" borderId="28" xfId="0" applyFont="1" applyBorder="1" applyAlignment="1">
      <alignment horizontal="center" vertical="center"/>
    </xf>
    <xf numFmtId="0" fontId="88" fillId="0" borderId="117" xfId="0" applyFont="1" applyBorder="1" applyAlignment="1">
      <alignment wrapText="1"/>
    </xf>
    <xf numFmtId="0" fontId="88" fillId="0" borderId="113" xfId="0" applyFont="1" applyBorder="1" applyAlignment="1">
      <alignment wrapText="1"/>
    </xf>
    <xf numFmtId="0" fontId="88" fillId="0" borderId="25" xfId="0" applyFont="1" applyBorder="1" applyAlignment="1">
      <alignment wrapText="1"/>
    </xf>
    <xf numFmtId="0" fontId="0" fillId="0" borderId="27" xfId="0" applyBorder="1"/>
    <xf numFmtId="0" fontId="88" fillId="0" borderId="25" xfId="0" applyFont="1" applyBorder="1" applyAlignment="1">
      <alignment horizontal="center" wrapText="1"/>
    </xf>
    <xf numFmtId="0" fontId="88" fillId="67" borderId="25" xfId="0" applyFont="1" applyFill="1" applyBorder="1" applyAlignment="1">
      <alignment horizontal="center" wrapText="1"/>
    </xf>
    <xf numFmtId="0" fontId="119" fillId="0" borderId="117" xfId="0" applyFont="1" applyBorder="1" applyAlignment="1">
      <alignment horizontal="center" vertical="center"/>
    </xf>
    <xf numFmtId="0" fontId="119" fillId="0" borderId="117" xfId="0" applyFont="1" applyBorder="1"/>
    <xf numFmtId="0" fontId="88" fillId="0" borderId="118" xfId="0" applyFont="1" applyBorder="1" applyAlignment="1">
      <alignment wrapText="1"/>
    </xf>
    <xf numFmtId="0" fontId="119" fillId="0" borderId="118" xfId="0" applyFont="1" applyBorder="1" applyAlignment="1">
      <alignment horizontal="center" vertical="center"/>
    </xf>
    <xf numFmtId="0" fontId="119" fillId="0" borderId="113" xfId="0" applyFont="1" applyBorder="1" applyAlignment="1">
      <alignment horizontal="center" vertical="center"/>
    </xf>
    <xf numFmtId="0" fontId="119" fillId="0" borderId="25" xfId="0" applyFont="1" applyBorder="1" applyAlignment="1">
      <alignment horizontal="center" vertical="center"/>
    </xf>
    <xf numFmtId="0" fontId="80" fillId="14" borderId="56" xfId="0" applyFont="1" applyFill="1" applyBorder="1" applyAlignment="1">
      <alignment vertical="center" wrapText="1"/>
    </xf>
    <xf numFmtId="0" fontId="80" fillId="14" borderId="16" xfId="0" applyFont="1" applyFill="1" applyBorder="1" applyAlignment="1">
      <alignment vertical="center" wrapText="1"/>
    </xf>
    <xf numFmtId="0" fontId="80" fillId="14" borderId="63" xfId="0" applyFont="1" applyFill="1" applyBorder="1" applyAlignment="1">
      <alignment vertical="center" wrapText="1"/>
    </xf>
    <xf numFmtId="0" fontId="80" fillId="14" borderId="17" xfId="0" applyFont="1" applyFill="1" applyBorder="1" applyAlignment="1">
      <alignment vertical="center" wrapText="1"/>
    </xf>
    <xf numFmtId="0" fontId="80" fillId="14" borderId="60" xfId="0" applyFont="1" applyFill="1" applyBorder="1" applyAlignment="1">
      <alignment vertical="center" wrapText="1"/>
    </xf>
    <xf numFmtId="0" fontId="80" fillId="14" borderId="72" xfId="0" applyFont="1" applyFill="1" applyBorder="1" applyAlignment="1">
      <alignment vertical="center" wrapText="1"/>
    </xf>
    <xf numFmtId="0" fontId="80" fillId="14" borderId="69" xfId="0" applyFont="1" applyFill="1" applyBorder="1" applyAlignment="1">
      <alignment vertical="center" wrapText="1"/>
    </xf>
    <xf numFmtId="0" fontId="80" fillId="14" borderId="70" xfId="0" applyFont="1" applyFill="1" applyBorder="1" applyAlignment="1">
      <alignment vertical="center" wrapText="1"/>
    </xf>
    <xf numFmtId="0" fontId="80" fillId="14" borderId="80" xfId="0" applyFont="1" applyFill="1" applyBorder="1" applyAlignment="1">
      <alignment vertical="center" wrapText="1"/>
    </xf>
    <xf numFmtId="0" fontId="80" fillId="14" borderId="19" xfId="0" applyFont="1" applyFill="1" applyBorder="1" applyAlignment="1">
      <alignment vertical="center" wrapText="1"/>
    </xf>
    <xf numFmtId="0" fontId="80" fillId="14" borderId="55" xfId="0" applyFont="1" applyFill="1" applyBorder="1" applyAlignment="1">
      <alignment vertical="center" wrapText="1"/>
    </xf>
    <xf numFmtId="0" fontId="80" fillId="43" borderId="56" xfId="0" applyFont="1" applyFill="1" applyBorder="1" applyAlignment="1">
      <alignment vertical="center" wrapText="1"/>
    </xf>
    <xf numFmtId="0" fontId="80" fillId="43" borderId="55" xfId="0" applyFont="1" applyFill="1" applyBorder="1" applyAlignment="1">
      <alignment vertical="center" wrapText="1"/>
    </xf>
    <xf numFmtId="0" fontId="80" fillId="14" borderId="10" xfId="0" applyFont="1" applyFill="1" applyBorder="1" applyAlignment="1">
      <alignment vertical="center" wrapText="1"/>
    </xf>
    <xf numFmtId="0" fontId="120" fillId="14" borderId="10" xfId="0" applyFont="1" applyFill="1" applyBorder="1" applyAlignment="1">
      <alignment vertical="center" wrapText="1"/>
    </xf>
    <xf numFmtId="0" fontId="120" fillId="14" borderId="16" xfId="0" applyFont="1" applyFill="1" applyBorder="1" applyAlignment="1">
      <alignment vertical="center" wrapText="1"/>
    </xf>
    <xf numFmtId="0" fontId="120" fillId="43" borderId="10" xfId="0" applyFont="1" applyFill="1" applyBorder="1" applyAlignment="1">
      <alignment vertical="center" wrapText="1"/>
    </xf>
    <xf numFmtId="0" fontId="120" fillId="43" borderId="16" xfId="0" applyFont="1" applyFill="1" applyBorder="1" applyAlignment="1">
      <alignment vertical="center" wrapText="1"/>
    </xf>
    <xf numFmtId="165" fontId="72" fillId="0" borderId="18" xfId="0" applyNumberFormat="1" applyFont="1" applyBorder="1" applyAlignment="1">
      <alignment horizontal="center" vertical="center" wrapText="1"/>
    </xf>
    <xf numFmtId="170" fontId="72" fillId="21" borderId="9" xfId="0" applyNumberFormat="1" applyFont="1" applyFill="1" applyBorder="1" applyAlignment="1">
      <alignment horizontal="center" vertical="center" wrapText="1"/>
    </xf>
    <xf numFmtId="170" fontId="72" fillId="0" borderId="14" xfId="0" applyNumberFormat="1" applyFont="1" applyBorder="1" applyAlignment="1">
      <alignment horizontal="center" vertical="center" wrapText="1"/>
    </xf>
    <xf numFmtId="174" fontId="72" fillId="21" borderId="14" xfId="3" applyNumberFormat="1" applyFont="1" applyFill="1" applyBorder="1" applyAlignment="1">
      <alignment horizontal="center" vertical="center" wrapText="1"/>
    </xf>
    <xf numFmtId="0" fontId="82" fillId="0" borderId="4" xfId="0" applyFont="1" applyBorder="1" applyAlignment="1">
      <alignment wrapText="1"/>
    </xf>
    <xf numFmtId="0" fontId="82" fillId="0" borderId="16" xfId="0" applyFont="1" applyBorder="1" applyAlignment="1">
      <alignment wrapText="1"/>
    </xf>
    <xf numFmtId="9" fontId="83" fillId="8" borderId="117" xfId="0" applyNumberFormat="1" applyFont="1" applyFill="1" applyBorder="1" applyAlignment="1">
      <alignment horizontal="center" vertical="center" wrapText="1"/>
    </xf>
    <xf numFmtId="165" fontId="83" fillId="8" borderId="34" xfId="0" applyNumberFormat="1" applyFont="1" applyFill="1" applyBorder="1" applyAlignment="1">
      <alignment horizontal="center" vertical="center" wrapText="1"/>
    </xf>
    <xf numFmtId="9" fontId="82" fillId="0" borderId="24" xfId="0" applyNumberFormat="1" applyFont="1" applyBorder="1" applyAlignment="1">
      <alignment vertical="center" wrapText="1"/>
    </xf>
    <xf numFmtId="165" fontId="83" fillId="36" borderId="24" xfId="0" applyNumberFormat="1" applyFont="1" applyFill="1" applyBorder="1" applyAlignment="1">
      <alignment horizontal="center" vertical="center" wrapText="1"/>
    </xf>
    <xf numFmtId="165" fontId="83" fillId="63" borderId="24" xfId="0" applyNumberFormat="1" applyFont="1" applyFill="1" applyBorder="1" applyAlignment="1">
      <alignment horizontal="center" vertical="center" wrapText="1"/>
    </xf>
    <xf numFmtId="0" fontId="82" fillId="0" borderId="15" xfId="0" applyFont="1" applyBorder="1" applyAlignment="1">
      <alignment wrapText="1"/>
    </xf>
    <xf numFmtId="10" fontId="18" fillId="0" borderId="0" xfId="0" applyNumberFormat="1" applyFont="1"/>
    <xf numFmtId="0" fontId="80" fillId="30" borderId="56" xfId="0" applyFont="1" applyFill="1" applyBorder="1" applyAlignment="1">
      <alignment vertical="center" wrapText="1"/>
    </xf>
    <xf numFmtId="167" fontId="72" fillId="21" borderId="24" xfId="0" applyNumberFormat="1" applyFont="1" applyFill="1" applyBorder="1" applyAlignment="1">
      <alignment horizontal="center" vertical="center" wrapText="1"/>
    </xf>
    <xf numFmtId="0" fontId="72" fillId="30" borderId="16" xfId="0" applyFont="1" applyFill="1" applyBorder="1" applyAlignment="1">
      <alignment vertical="center" wrapText="1"/>
    </xf>
    <xf numFmtId="170" fontId="72" fillId="0" borderId="24" xfId="0" applyNumberFormat="1" applyFont="1" applyBorder="1" applyAlignment="1">
      <alignment horizontal="center" vertical="center" wrapText="1"/>
    </xf>
    <xf numFmtId="9" fontId="80" fillId="21" borderId="24" xfId="0" applyNumberFormat="1" applyFont="1" applyFill="1" applyBorder="1" applyAlignment="1">
      <alignment horizontal="center" vertical="center" wrapText="1"/>
    </xf>
    <xf numFmtId="9" fontId="55" fillId="0" borderId="40" xfId="1" applyFont="1" applyBorder="1" applyAlignment="1">
      <alignment horizontal="center" vertical="center" wrapText="1"/>
    </xf>
    <xf numFmtId="0" fontId="58" fillId="25" borderId="9" xfId="0" applyFont="1" applyFill="1" applyBorder="1" applyAlignment="1">
      <alignment vertical="center" wrapText="1"/>
    </xf>
    <xf numFmtId="167" fontId="57" fillId="19" borderId="24" xfId="0" applyNumberFormat="1" applyFont="1" applyFill="1" applyBorder="1" applyAlignment="1">
      <alignment horizontal="center" vertical="center" wrapText="1"/>
    </xf>
    <xf numFmtId="9" fontId="72" fillId="19" borderId="9" xfId="0" applyNumberFormat="1" applyFont="1" applyFill="1" applyBorder="1" applyAlignment="1">
      <alignment horizontal="center" vertical="center" wrapText="1"/>
    </xf>
    <xf numFmtId="9" fontId="72" fillId="19" borderId="6" xfId="0" applyNumberFormat="1" applyFont="1" applyFill="1" applyBorder="1" applyAlignment="1">
      <alignment horizontal="center" vertical="center" wrapText="1"/>
    </xf>
    <xf numFmtId="9" fontId="72" fillId="19" borderId="13" xfId="0" applyNumberFormat="1" applyFont="1" applyFill="1" applyBorder="1" applyAlignment="1">
      <alignment horizontal="center" vertical="center" wrapText="1"/>
    </xf>
    <xf numFmtId="9" fontId="72" fillId="19" borderId="114" xfId="0" applyNumberFormat="1" applyFont="1" applyFill="1" applyBorder="1" applyAlignment="1">
      <alignment horizontal="center" vertical="center" wrapText="1"/>
    </xf>
    <xf numFmtId="9" fontId="72" fillId="19" borderId="115" xfId="0" applyNumberFormat="1" applyFont="1" applyFill="1" applyBorder="1" applyAlignment="1">
      <alignment horizontal="center" vertical="center" wrapText="1"/>
    </xf>
    <xf numFmtId="0" fontId="74" fillId="21" borderId="25" xfId="0" applyFont="1" applyFill="1" applyBorder="1" applyAlignment="1">
      <alignment horizontal="center" vertical="center" wrapText="1"/>
    </xf>
    <xf numFmtId="0" fontId="74" fillId="21" borderId="76" xfId="0" applyFont="1" applyFill="1" applyBorder="1" applyAlignment="1">
      <alignment horizontal="center" vertical="center" wrapText="1"/>
    </xf>
    <xf numFmtId="0" fontId="74" fillId="21" borderId="44" xfId="0" applyFont="1" applyFill="1" applyBorder="1" applyAlignment="1">
      <alignment horizontal="center" vertical="center" wrapText="1"/>
    </xf>
    <xf numFmtId="0" fontId="72" fillId="21" borderId="26" xfId="0" applyFont="1" applyFill="1" applyBorder="1" applyAlignment="1">
      <alignment horizontal="center" vertical="center" wrapText="1"/>
    </xf>
    <xf numFmtId="165" fontId="34" fillId="22" borderId="14" xfId="0" applyNumberFormat="1" applyFont="1" applyFill="1" applyBorder="1" applyAlignment="1">
      <alignment horizontal="center" vertical="center"/>
    </xf>
    <xf numFmtId="165" fontId="79" fillId="45" borderId="157" xfId="0" applyNumberFormat="1" applyFont="1" applyFill="1" applyBorder="1" applyAlignment="1">
      <alignment horizontal="center" vertical="center"/>
    </xf>
    <xf numFmtId="165" fontId="18" fillId="22" borderId="24" xfId="0" applyNumberFormat="1" applyFont="1" applyFill="1" applyBorder="1" applyAlignment="1">
      <alignment horizontal="center" vertical="center"/>
    </xf>
    <xf numFmtId="165" fontId="18" fillId="22" borderId="24" xfId="1" applyNumberFormat="1" applyFont="1" applyFill="1" applyBorder="1" applyAlignment="1">
      <alignment horizontal="center"/>
    </xf>
    <xf numFmtId="165" fontId="0" fillId="22" borderId="24" xfId="1" applyNumberFormat="1" applyFont="1" applyFill="1" applyBorder="1" applyAlignment="1">
      <alignment horizontal="center"/>
    </xf>
    <xf numFmtId="0" fontId="0" fillId="19" borderId="24" xfId="0" applyFill="1" applyBorder="1" applyAlignment="1">
      <alignment wrapText="1"/>
    </xf>
    <xf numFmtId="0" fontId="4" fillId="19" borderId="24" xfId="0" applyFont="1" applyFill="1" applyBorder="1" applyAlignment="1">
      <alignment horizontal="left" vertical="center" wrapText="1"/>
    </xf>
    <xf numFmtId="165" fontId="0" fillId="22" borderId="24" xfId="0" applyNumberFormat="1" applyFill="1" applyBorder="1" applyAlignment="1">
      <alignment horizontal="center" vertical="center"/>
    </xf>
    <xf numFmtId="165" fontId="18" fillId="25" borderId="24" xfId="1" applyNumberFormat="1" applyFont="1" applyFill="1" applyBorder="1" applyAlignment="1">
      <alignment horizontal="center" wrapText="1"/>
    </xf>
    <xf numFmtId="165" fontId="5" fillId="22" borderId="24" xfId="1" applyNumberFormat="1" applyFont="1" applyFill="1" applyBorder="1" applyAlignment="1">
      <alignment horizontal="center" wrapText="1"/>
    </xf>
    <xf numFmtId="0" fontId="42" fillId="19" borderId="24" xfId="0" applyFont="1" applyFill="1" applyBorder="1" applyAlignment="1">
      <alignment wrapText="1"/>
    </xf>
    <xf numFmtId="165" fontId="18" fillId="22" borderId="24" xfId="1" applyNumberFormat="1" applyFont="1" applyFill="1" applyBorder="1" applyAlignment="1">
      <alignment horizontal="center" vertical="center"/>
    </xf>
    <xf numFmtId="165" fontId="0" fillId="22" borderId="24" xfId="1" applyNumberFormat="1" applyFont="1" applyFill="1" applyBorder="1" applyAlignment="1">
      <alignment horizontal="center" vertical="center"/>
    </xf>
    <xf numFmtId="165" fontId="21" fillId="22" borderId="24" xfId="0" applyNumberFormat="1" applyFont="1" applyFill="1" applyBorder="1" applyAlignment="1">
      <alignment horizontal="center" vertical="center"/>
    </xf>
    <xf numFmtId="165" fontId="35" fillId="22" borderId="24" xfId="1" applyNumberFormat="1" applyFont="1" applyFill="1" applyBorder="1" applyAlignment="1">
      <alignment horizontal="center" vertical="center"/>
    </xf>
    <xf numFmtId="165" fontId="35" fillId="18" borderId="24" xfId="1" applyNumberFormat="1" applyFont="1" applyFill="1" applyBorder="1" applyAlignment="1">
      <alignment horizontal="center" vertical="center"/>
    </xf>
    <xf numFmtId="0" fontId="42" fillId="53" borderId="24" xfId="0" applyFont="1" applyFill="1" applyBorder="1" applyAlignment="1">
      <alignment vertical="center" wrapText="1"/>
    </xf>
    <xf numFmtId="0" fontId="3" fillId="53" borderId="24" xfId="0" applyFont="1" applyFill="1" applyBorder="1" applyAlignment="1">
      <alignment wrapText="1"/>
    </xf>
    <xf numFmtId="0" fontId="2" fillId="53" borderId="24" xfId="0" applyFont="1" applyFill="1" applyBorder="1"/>
    <xf numFmtId="0" fontId="3" fillId="53" borderId="24" xfId="0" applyFont="1" applyFill="1" applyBorder="1"/>
    <xf numFmtId="0" fontId="18" fillId="19" borderId="24" xfId="0" applyFont="1" applyFill="1" applyBorder="1" applyAlignment="1">
      <alignment horizontal="center" vertical="center"/>
    </xf>
    <xf numFmtId="10" fontId="110" fillId="65" borderId="24" xfId="0" applyNumberFormat="1" applyFont="1" applyFill="1" applyBorder="1" applyAlignment="1">
      <alignment horizontal="center" vertical="center"/>
    </xf>
    <xf numFmtId="0" fontId="1" fillId="53" borderId="24" xfId="0" applyFont="1" applyFill="1" applyBorder="1" applyAlignment="1">
      <alignment wrapText="1"/>
    </xf>
    <xf numFmtId="10" fontId="34" fillId="22" borderId="14" xfId="0" applyNumberFormat="1" applyFont="1" applyFill="1" applyBorder="1" applyAlignment="1">
      <alignment horizontal="center" vertical="center"/>
    </xf>
    <xf numFmtId="165" fontId="125" fillId="0" borderId="0" xfId="0" applyNumberFormat="1" applyFont="1"/>
    <xf numFmtId="0" fontId="48" fillId="0" borderId="47" xfId="0" applyFont="1" applyBorder="1" applyAlignment="1">
      <alignment vertical="center" wrapText="1"/>
    </xf>
    <xf numFmtId="9" fontId="0" fillId="0" borderId="0" xfId="0" applyNumberFormat="1"/>
    <xf numFmtId="165" fontId="97" fillId="39" borderId="119" xfId="0" applyNumberFormat="1" applyFont="1" applyFill="1" applyBorder="1" applyAlignment="1">
      <alignment vertical="center" wrapText="1"/>
    </xf>
    <xf numFmtId="165" fontId="83" fillId="40" borderId="47" xfId="0" applyNumberFormat="1" applyFont="1" applyFill="1" applyBorder="1" applyAlignment="1">
      <alignment horizontal="center" vertical="center" wrapText="1"/>
    </xf>
    <xf numFmtId="165" fontId="83" fillId="33" borderId="47" xfId="0" applyNumberFormat="1" applyFont="1" applyFill="1" applyBorder="1" applyAlignment="1">
      <alignment horizontal="center" vertical="center" wrapText="1"/>
    </xf>
    <xf numFmtId="9" fontId="72" fillId="19" borderId="47" xfId="0" applyNumberFormat="1" applyFont="1" applyFill="1" applyBorder="1" applyAlignment="1">
      <alignment horizontal="center" vertical="center" wrapText="1"/>
    </xf>
    <xf numFmtId="165" fontId="73" fillId="40" borderId="47" xfId="0" applyNumberFormat="1" applyFont="1" applyFill="1" applyBorder="1" applyAlignment="1">
      <alignment horizontal="center" vertical="center" wrapText="1"/>
    </xf>
    <xf numFmtId="0" fontId="72" fillId="0" borderId="174" xfId="0" applyFont="1" applyBorder="1" applyAlignment="1">
      <alignment wrapText="1"/>
    </xf>
    <xf numFmtId="0" fontId="73" fillId="51" borderId="175" xfId="0" applyFont="1" applyFill="1" applyBorder="1" applyAlignment="1">
      <alignment horizontal="center" vertical="center" wrapText="1"/>
    </xf>
    <xf numFmtId="0" fontId="73" fillId="51" borderId="176" xfId="0" applyFont="1" applyFill="1" applyBorder="1" applyAlignment="1">
      <alignment horizontal="center" vertical="center" wrapText="1"/>
    </xf>
    <xf numFmtId="0" fontId="96" fillId="0" borderId="24" xfId="0" applyFont="1" applyBorder="1" applyAlignment="1">
      <alignment wrapText="1"/>
    </xf>
    <xf numFmtId="0" fontId="99" fillId="0" borderId="24" xfId="0" applyFont="1" applyBorder="1"/>
    <xf numFmtId="0" fontId="85" fillId="0" borderId="24" xfId="0" applyFont="1" applyBorder="1"/>
    <xf numFmtId="0" fontId="45" fillId="25" borderId="24" xfId="0" applyFont="1" applyFill="1" applyBorder="1" applyAlignment="1">
      <alignment vertical="center" wrapText="1"/>
    </xf>
    <xf numFmtId="0" fontId="74" fillId="0" borderId="24" xfId="0" applyFont="1" applyBorder="1"/>
    <xf numFmtId="9" fontId="73" fillId="18" borderId="24" xfId="0" applyNumberFormat="1" applyFont="1" applyFill="1" applyBorder="1" applyAlignment="1">
      <alignment horizontal="left" vertical="center" wrapText="1"/>
    </xf>
    <xf numFmtId="0" fontId="73" fillId="50" borderId="24" xfId="0" applyFont="1" applyFill="1" applyBorder="1" applyAlignment="1">
      <alignment vertical="center" wrapText="1"/>
    </xf>
    <xf numFmtId="0" fontId="73" fillId="18" borderId="24" xfId="0" applyFont="1" applyFill="1" applyBorder="1" applyAlignment="1">
      <alignment wrapText="1"/>
    </xf>
    <xf numFmtId="0" fontId="73" fillId="24" borderId="24" xfId="0" applyFont="1" applyFill="1" applyBorder="1" applyAlignment="1">
      <alignment vertical="center" wrapText="1"/>
    </xf>
    <xf numFmtId="0" fontId="73" fillId="50" borderId="24" xfId="0" applyFont="1" applyFill="1" applyBorder="1" applyAlignment="1">
      <alignment wrapText="1"/>
    </xf>
    <xf numFmtId="165" fontId="63" fillId="33" borderId="116" xfId="0" applyNumberFormat="1" applyFont="1" applyFill="1" applyBorder="1" applyAlignment="1">
      <alignment vertical="center" wrapText="1"/>
    </xf>
    <xf numFmtId="165" fontId="58" fillId="40" borderId="116" xfId="0" applyNumberFormat="1" applyFont="1" applyFill="1" applyBorder="1" applyAlignment="1">
      <alignment horizontal="center" vertical="center" wrapText="1"/>
    </xf>
    <xf numFmtId="165" fontId="58" fillId="39" borderId="116" xfId="0" applyNumberFormat="1" applyFont="1" applyFill="1" applyBorder="1" applyAlignment="1">
      <alignment horizontal="center" vertical="center" wrapText="1"/>
    </xf>
    <xf numFmtId="9" fontId="57" fillId="25" borderId="116" xfId="0" applyNumberFormat="1" applyFont="1" applyFill="1" applyBorder="1" applyAlignment="1">
      <alignment horizontal="left" vertical="center" wrapText="1"/>
    </xf>
    <xf numFmtId="9" fontId="57" fillId="18" borderId="116" xfId="0" applyNumberFormat="1" applyFont="1" applyFill="1" applyBorder="1" applyAlignment="1">
      <alignment horizontal="center" vertical="center" wrapText="1"/>
    </xf>
    <xf numFmtId="0" fontId="62" fillId="0" borderId="24" xfId="0" applyFont="1" applyBorder="1" applyAlignment="1">
      <alignment wrapText="1"/>
    </xf>
    <xf numFmtId="0" fontId="58" fillId="25" borderId="24" xfId="0" applyFont="1" applyFill="1" applyBorder="1" applyAlignment="1">
      <alignment vertical="center" wrapText="1"/>
    </xf>
    <xf numFmtId="0" fontId="58" fillId="25" borderId="24" xfId="0" applyFont="1" applyFill="1" applyBorder="1" applyAlignment="1">
      <alignment horizontal="left" vertical="center" wrapText="1"/>
    </xf>
    <xf numFmtId="0" fontId="58" fillId="50" borderId="24" xfId="0" applyFont="1" applyFill="1" applyBorder="1" applyAlignment="1">
      <alignment vertical="center" wrapText="1"/>
    </xf>
    <xf numFmtId="0" fontId="30" fillId="25" borderId="24" xfId="0" applyFont="1" applyFill="1" applyBorder="1" applyAlignment="1">
      <alignment vertical="center" wrapText="1"/>
    </xf>
    <xf numFmtId="10" fontId="67" fillId="33" borderId="47" xfId="0" applyNumberFormat="1" applyFont="1" applyFill="1" applyBorder="1" applyAlignment="1">
      <alignment vertical="center" wrapText="1"/>
    </xf>
    <xf numFmtId="165" fontId="58" fillId="39" borderId="47" xfId="0" applyNumberFormat="1" applyFont="1" applyFill="1" applyBorder="1" applyAlignment="1">
      <alignment horizontal="center" vertical="center" wrapText="1"/>
    </xf>
    <xf numFmtId="165" fontId="58" fillId="33" borderId="47" xfId="0" applyNumberFormat="1" applyFont="1" applyFill="1" applyBorder="1" applyAlignment="1">
      <alignment horizontal="center" vertical="center" wrapText="1"/>
    </xf>
    <xf numFmtId="9" fontId="57" fillId="50" borderId="47" xfId="0" applyNumberFormat="1" applyFont="1" applyFill="1" applyBorder="1" applyAlignment="1">
      <alignment horizontal="center" vertical="center" wrapText="1"/>
    </xf>
    <xf numFmtId="9" fontId="57" fillId="25" borderId="47" xfId="0" applyNumberFormat="1" applyFont="1" applyFill="1" applyBorder="1" applyAlignment="1">
      <alignment horizontal="left" wrapText="1"/>
    </xf>
    <xf numFmtId="9" fontId="80" fillId="25" borderId="47" xfId="0" applyNumberFormat="1" applyFont="1" applyFill="1" applyBorder="1" applyAlignment="1">
      <alignment horizontal="center" vertical="center" wrapText="1"/>
    </xf>
    <xf numFmtId="9" fontId="57" fillId="50" borderId="47" xfId="0" applyNumberFormat="1" applyFont="1" applyFill="1" applyBorder="1" applyAlignment="1">
      <alignment horizontal="left" vertical="center" wrapText="1"/>
    </xf>
    <xf numFmtId="9" fontId="57" fillId="18" borderId="47" xfId="0" applyNumberFormat="1" applyFont="1" applyFill="1" applyBorder="1" applyAlignment="1">
      <alignment horizontal="left" vertical="center" wrapText="1"/>
    </xf>
    <xf numFmtId="165" fontId="58" fillId="31" borderId="47" xfId="0" applyNumberFormat="1" applyFont="1" applyFill="1" applyBorder="1" applyAlignment="1">
      <alignment horizontal="left" vertical="center" wrapText="1"/>
    </xf>
    <xf numFmtId="9" fontId="57" fillId="19" borderId="47" xfId="0" applyNumberFormat="1" applyFont="1" applyFill="1" applyBorder="1" applyAlignment="1">
      <alignment horizontal="center" vertical="center" wrapText="1"/>
    </xf>
    <xf numFmtId="0" fontId="60" fillId="25" borderId="24" xfId="0" applyFont="1" applyFill="1" applyBorder="1" applyAlignment="1">
      <alignment horizontal="center" vertical="center" wrapText="1"/>
    </xf>
    <xf numFmtId="0" fontId="60" fillId="18" borderId="24" xfId="0" applyFont="1" applyFill="1" applyBorder="1"/>
    <xf numFmtId="0" fontId="52" fillId="0" borderId="119" xfId="0" applyFont="1" applyBorder="1" applyAlignment="1">
      <alignment wrapText="1"/>
    </xf>
    <xf numFmtId="0" fontId="82" fillId="0" borderId="47" xfId="0" applyFont="1" applyBorder="1" applyAlignment="1">
      <alignment wrapText="1"/>
    </xf>
    <xf numFmtId="9" fontId="58" fillId="18" borderId="47" xfId="0" applyNumberFormat="1" applyFont="1" applyFill="1" applyBorder="1" applyAlignment="1">
      <alignment horizontal="left" vertical="center" wrapText="1"/>
    </xf>
    <xf numFmtId="0" fontId="58" fillId="18" borderId="47" xfId="0" applyFont="1" applyFill="1" applyBorder="1" applyAlignment="1">
      <alignment vertical="center" wrapText="1"/>
    </xf>
    <xf numFmtId="0" fontId="52" fillId="0" borderId="24" xfId="0" applyFont="1" applyBorder="1" applyAlignment="1">
      <alignment wrapText="1"/>
    </xf>
    <xf numFmtId="10" fontId="45" fillId="33" borderId="119" xfId="0" applyNumberFormat="1" applyFont="1" applyFill="1" applyBorder="1" applyAlignment="1">
      <alignment vertical="center" wrapText="1"/>
    </xf>
    <xf numFmtId="165" fontId="45" fillId="39" borderId="47" xfId="0" applyNumberFormat="1" applyFont="1" applyFill="1" applyBorder="1" applyAlignment="1">
      <alignment horizontal="center" vertical="center" wrapText="1"/>
    </xf>
    <xf numFmtId="165" fontId="45" fillId="33" borderId="47" xfId="0" applyNumberFormat="1" applyFont="1" applyFill="1" applyBorder="1" applyAlignment="1">
      <alignment horizontal="center" vertical="center" wrapText="1"/>
    </xf>
    <xf numFmtId="9" fontId="48" fillId="50" borderId="47" xfId="0" applyNumberFormat="1" applyFont="1" applyFill="1" applyBorder="1" applyAlignment="1">
      <alignment horizontal="left" vertical="center" wrapText="1"/>
    </xf>
    <xf numFmtId="0" fontId="45" fillId="50" borderId="24" xfId="0" applyFont="1" applyFill="1" applyBorder="1" applyAlignment="1">
      <alignment horizontal="center" vertical="center" wrapText="1"/>
    </xf>
    <xf numFmtId="0" fontId="45" fillId="18" borderId="24" xfId="0" applyFont="1" applyFill="1" applyBorder="1" applyAlignment="1">
      <alignment vertical="center" wrapText="1"/>
    </xf>
    <xf numFmtId="9" fontId="45" fillId="25" borderId="24" xfId="0" applyNumberFormat="1" applyFont="1" applyFill="1" applyBorder="1" applyAlignment="1">
      <alignment horizontal="center" vertical="center" wrapText="1"/>
    </xf>
    <xf numFmtId="9" fontId="45" fillId="25" borderId="24" xfId="0" applyNumberFormat="1" applyFont="1" applyFill="1" applyBorder="1" applyAlignment="1">
      <alignment horizontal="left" vertical="center" wrapText="1"/>
    </xf>
    <xf numFmtId="2" fontId="72" fillId="21" borderId="9" xfId="0" applyNumberFormat="1" applyFont="1" applyFill="1" applyBorder="1" applyAlignment="1">
      <alignment horizontal="center" vertical="center" wrapText="1"/>
    </xf>
    <xf numFmtId="165" fontId="72" fillId="0" borderId="76" xfId="0" applyNumberFormat="1" applyFont="1" applyBorder="1" applyAlignment="1">
      <alignment horizontal="center" vertical="center" wrapText="1"/>
    </xf>
    <xf numFmtId="0" fontId="72" fillId="19" borderId="6" xfId="0" applyFont="1" applyFill="1" applyBorder="1" applyAlignment="1">
      <alignment horizontal="center" vertical="center" wrapText="1"/>
    </xf>
    <xf numFmtId="0" fontId="60" fillId="18" borderId="24" xfId="0" applyFont="1" applyFill="1" applyBorder="1" applyAlignment="1">
      <alignment horizontal="center" vertical="center" wrapText="1"/>
    </xf>
    <xf numFmtId="165" fontId="57" fillId="0" borderId="24" xfId="0" applyNumberFormat="1" applyFont="1" applyBorder="1" applyAlignment="1">
      <alignment horizontal="center" wrapText="1"/>
    </xf>
    <xf numFmtId="0" fontId="80" fillId="21" borderId="24" xfId="0" applyFont="1" applyFill="1" applyBorder="1" applyAlignment="1">
      <alignment horizontal="center" vertical="center" wrapText="1"/>
    </xf>
    <xf numFmtId="0" fontId="80" fillId="30" borderId="16" xfId="0" applyFont="1" applyFill="1" applyBorder="1" applyAlignment="1">
      <alignment vertical="center" wrapText="1"/>
    </xf>
    <xf numFmtId="0" fontId="127" fillId="18" borderId="24" xfId="0" applyFont="1" applyFill="1" applyBorder="1" applyAlignment="1">
      <alignment vertical="center" wrapText="1"/>
    </xf>
    <xf numFmtId="0" fontId="26" fillId="25" borderId="18" xfId="0" applyFont="1" applyFill="1" applyBorder="1" applyAlignment="1">
      <alignment horizontal="center" vertical="center" wrapText="1"/>
    </xf>
    <xf numFmtId="0" fontId="26" fillId="26" borderId="18" xfId="0" applyFont="1" applyFill="1" applyBorder="1" applyAlignment="1">
      <alignment horizontal="center" vertical="center" wrapText="1"/>
    </xf>
    <xf numFmtId="0" fontId="26" fillId="18" borderId="18" xfId="0" applyFont="1" applyFill="1" applyBorder="1" applyAlignment="1">
      <alignment horizontal="center" vertical="center" wrapText="1"/>
    </xf>
    <xf numFmtId="0" fontId="26" fillId="27" borderId="18" xfId="0" applyFont="1" applyFill="1" applyBorder="1" applyAlignment="1">
      <alignment horizontal="center" vertical="center" wrapText="1"/>
    </xf>
    <xf numFmtId="0" fontId="26" fillId="24" borderId="18" xfId="0" applyFont="1" applyFill="1" applyBorder="1" applyAlignment="1">
      <alignment horizontal="center" vertical="center" wrapText="1"/>
    </xf>
    <xf numFmtId="169" fontId="72" fillId="21" borderId="14" xfId="3" applyNumberFormat="1" applyFont="1" applyFill="1" applyBorder="1" applyAlignment="1">
      <alignment horizontal="center" vertical="center" wrapText="1"/>
    </xf>
    <xf numFmtId="169" fontId="72" fillId="21" borderId="14" xfId="3" applyNumberFormat="1" applyFont="1" applyFill="1" applyBorder="1" applyAlignment="1">
      <alignment vertical="center" wrapText="1"/>
    </xf>
    <xf numFmtId="0" fontId="72" fillId="21" borderId="50" xfId="0" applyFont="1" applyFill="1" applyBorder="1" applyAlignment="1">
      <alignment horizontal="center" vertical="center" wrapText="1"/>
    </xf>
    <xf numFmtId="0" fontId="18" fillId="0" borderId="43" xfId="0" applyFont="1" applyBorder="1" applyAlignment="1">
      <alignment horizontal="center" vertical="center"/>
    </xf>
    <xf numFmtId="0" fontId="18" fillId="23" borderId="43" xfId="0" applyFont="1" applyFill="1" applyBorder="1" applyAlignment="1">
      <alignment horizontal="center" wrapText="1"/>
    </xf>
    <xf numFmtId="0" fontId="18" fillId="23" borderId="37" xfId="0" applyFont="1" applyFill="1" applyBorder="1" applyAlignment="1">
      <alignment horizontal="center" vertical="center" wrapText="1"/>
    </xf>
    <xf numFmtId="0" fontId="42" fillId="19" borderId="25" xfId="0" applyFont="1" applyFill="1" applyBorder="1" applyAlignment="1">
      <alignment wrapText="1"/>
    </xf>
    <xf numFmtId="165" fontId="5" fillId="24" borderId="25" xfId="1" applyNumberFormat="1" applyFont="1" applyFill="1" applyBorder="1" applyAlignment="1">
      <alignment horizontal="center" wrapText="1"/>
    </xf>
    <xf numFmtId="0" fontId="124" fillId="19" borderId="28" xfId="0" applyFont="1" applyFill="1" applyBorder="1" applyAlignment="1">
      <alignment vertical="center"/>
    </xf>
    <xf numFmtId="165" fontId="92" fillId="18" borderId="24" xfId="0" applyNumberFormat="1" applyFont="1" applyFill="1" applyBorder="1" applyAlignment="1">
      <alignment horizontal="center" vertical="center"/>
    </xf>
    <xf numFmtId="165" fontId="60" fillId="22" borderId="24" xfId="1" applyNumberFormat="1" applyFont="1" applyFill="1" applyBorder="1" applyAlignment="1">
      <alignment horizontal="center" vertical="center"/>
    </xf>
    <xf numFmtId="165" fontId="11" fillId="0" borderId="14" xfId="0" applyNumberFormat="1" applyFont="1" applyBorder="1" applyAlignment="1">
      <alignment horizontal="center" vertical="center"/>
    </xf>
    <xf numFmtId="165" fontId="11" fillId="0" borderId="160" xfId="0" applyNumberFormat="1" applyFont="1" applyBorder="1" applyAlignment="1">
      <alignment horizontal="center" vertical="center"/>
    </xf>
    <xf numFmtId="165" fontId="40" fillId="22" borderId="14" xfId="0" applyNumberFormat="1" applyFont="1" applyFill="1" applyBorder="1" applyAlignment="1">
      <alignment horizontal="center" vertical="center"/>
    </xf>
    <xf numFmtId="165" fontId="40" fillId="22" borderId="160" xfId="0" applyNumberFormat="1" applyFont="1" applyFill="1" applyBorder="1" applyAlignment="1">
      <alignment horizontal="center" vertical="center"/>
    </xf>
    <xf numFmtId="0" fontId="73" fillId="6" borderId="25" xfId="0" applyFont="1" applyFill="1" applyBorder="1" applyAlignment="1">
      <alignment horizontal="center" vertical="center" wrapText="1"/>
    </xf>
    <xf numFmtId="0" fontId="57" fillId="0" borderId="18" xfId="0" applyFont="1" applyBorder="1" applyAlignment="1">
      <alignment vertical="center" wrapText="1"/>
    </xf>
    <xf numFmtId="0" fontId="72" fillId="21" borderId="13" xfId="0" applyFont="1" applyFill="1" applyBorder="1" applyAlignment="1">
      <alignment horizontal="center" vertical="center" wrapText="1"/>
    </xf>
    <xf numFmtId="0" fontId="72" fillId="21" borderId="177" xfId="0" applyFont="1" applyFill="1" applyBorder="1" applyAlignment="1">
      <alignment horizontal="center" vertical="center" wrapText="1"/>
    </xf>
    <xf numFmtId="0" fontId="72" fillId="0" borderId="27" xfId="0" applyFont="1" applyBorder="1" applyAlignment="1">
      <alignment vertical="center" wrapText="1"/>
    </xf>
    <xf numFmtId="0" fontId="74" fillId="0" borderId="43" xfId="0" applyFont="1" applyBorder="1" applyAlignment="1">
      <alignment horizontal="center" vertical="center" wrapText="1"/>
    </xf>
    <xf numFmtId="0" fontId="72" fillId="21" borderId="178" xfId="0" applyFont="1" applyFill="1" applyBorder="1" applyAlignment="1">
      <alignment horizontal="center" vertical="center" wrapText="1"/>
    </xf>
    <xf numFmtId="0" fontId="72" fillId="21" borderId="18" xfId="0" applyFont="1" applyFill="1" applyBorder="1" applyAlignment="1">
      <alignment horizontal="center" vertical="center" wrapText="1"/>
    </xf>
    <xf numFmtId="0" fontId="73" fillId="51" borderId="25" xfId="0" applyFont="1" applyFill="1" applyBorder="1" applyAlignment="1">
      <alignment horizontal="center" vertical="center" wrapText="1"/>
    </xf>
    <xf numFmtId="0" fontId="72" fillId="14" borderId="56" xfId="0" applyFont="1" applyFill="1" applyBorder="1" applyAlignment="1">
      <alignment vertical="center" wrapText="1"/>
    </xf>
    <xf numFmtId="0" fontId="72" fillId="43" borderId="56" xfId="0" applyFont="1" applyFill="1" applyBorder="1" applyAlignment="1">
      <alignment vertical="center" wrapText="1"/>
    </xf>
    <xf numFmtId="0" fontId="72" fillId="43" borderId="16" xfId="0" applyFont="1" applyFill="1" applyBorder="1" applyAlignment="1">
      <alignment vertical="center" wrapText="1"/>
    </xf>
    <xf numFmtId="0" fontId="72" fillId="43" borderId="63" xfId="0" applyFont="1" applyFill="1" applyBorder="1" applyAlignment="1">
      <alignment vertical="center" wrapText="1"/>
    </xf>
    <xf numFmtId="0" fontId="72" fillId="43" borderId="17" xfId="0" applyFont="1" applyFill="1" applyBorder="1" applyAlignment="1">
      <alignment vertical="center" wrapText="1"/>
    </xf>
    <xf numFmtId="0" fontId="72" fillId="43" borderId="69" xfId="0" applyFont="1" applyFill="1" applyBorder="1" applyAlignment="1">
      <alignment vertical="center" wrapText="1"/>
    </xf>
    <xf numFmtId="0" fontId="72" fillId="43" borderId="70" xfId="0" applyFont="1" applyFill="1" applyBorder="1" applyAlignment="1">
      <alignment vertical="center" wrapText="1"/>
    </xf>
    <xf numFmtId="0" fontId="72" fillId="14" borderId="16" xfId="0" applyFont="1" applyFill="1" applyBorder="1" applyAlignment="1">
      <alignment vertical="center" wrapText="1"/>
    </xf>
    <xf numFmtId="0" fontId="75" fillId="18" borderId="24" xfId="0" applyFont="1" applyFill="1" applyBorder="1" applyAlignment="1">
      <alignment horizontal="left" vertical="center" wrapText="1"/>
    </xf>
    <xf numFmtId="0" fontId="72" fillId="21" borderId="14" xfId="0" applyFont="1" applyFill="1" applyBorder="1" applyAlignment="1">
      <alignment vertical="center" wrapText="1"/>
    </xf>
    <xf numFmtId="1" fontId="72" fillId="19" borderId="14" xfId="0" applyNumberFormat="1" applyFont="1" applyFill="1" applyBorder="1" applyAlignment="1">
      <alignment horizontal="center" vertical="center" wrapText="1"/>
    </xf>
    <xf numFmtId="0" fontId="72" fillId="53" borderId="14" xfId="0" applyFont="1" applyFill="1" applyBorder="1" applyAlignment="1">
      <alignment horizontal="center" vertical="center" wrapText="1"/>
    </xf>
    <xf numFmtId="0" fontId="72" fillId="53" borderId="14" xfId="0" applyFont="1" applyFill="1" applyBorder="1" applyAlignment="1">
      <alignment vertical="center" wrapText="1"/>
    </xf>
    <xf numFmtId="0" fontId="72" fillId="53" borderId="24" xfId="0" applyFont="1" applyFill="1" applyBorder="1" applyAlignment="1">
      <alignment horizontal="center" vertical="center" wrapText="1"/>
    </xf>
    <xf numFmtId="0" fontId="72" fillId="53" borderId="24" xfId="0" applyFont="1" applyFill="1" applyBorder="1" applyAlignment="1">
      <alignment vertical="center" wrapText="1"/>
    </xf>
    <xf numFmtId="0" fontId="57" fillId="0" borderId="24" xfId="0" applyFont="1" applyBorder="1" applyAlignment="1">
      <alignment horizontal="center" wrapText="1"/>
    </xf>
    <xf numFmtId="0" fontId="25" fillId="0" borderId="18" xfId="0" applyFont="1" applyBorder="1" applyAlignment="1">
      <alignment horizontal="center" vertical="center" wrapText="1"/>
    </xf>
    <xf numFmtId="0" fontId="25" fillId="0" borderId="73" xfId="0" applyFont="1" applyBorder="1" applyAlignment="1">
      <alignment horizontal="center" vertical="center" wrapText="1"/>
    </xf>
    <xf numFmtId="0" fontId="26" fillId="25" borderId="77" xfId="0" applyFont="1" applyFill="1" applyBorder="1" applyAlignment="1">
      <alignment horizontal="center" vertical="center" wrapText="1"/>
    </xf>
    <xf numFmtId="0" fontId="26" fillId="26" borderId="77" xfId="0" applyFont="1" applyFill="1" applyBorder="1" applyAlignment="1">
      <alignment horizontal="center" vertical="center" wrapText="1"/>
    </xf>
    <xf numFmtId="0" fontId="26" fillId="18" borderId="77" xfId="0" applyFont="1" applyFill="1" applyBorder="1" applyAlignment="1">
      <alignment horizontal="center" vertical="center" wrapText="1"/>
    </xf>
    <xf numFmtId="0" fontId="26" fillId="27" borderId="77" xfId="0" applyFont="1" applyFill="1" applyBorder="1" applyAlignment="1">
      <alignment horizontal="center" vertical="center" wrapText="1"/>
    </xf>
    <xf numFmtId="0" fontId="26" fillId="24" borderId="44" xfId="0" applyFont="1" applyFill="1" applyBorder="1" applyAlignment="1">
      <alignment horizontal="center" vertical="center" wrapText="1"/>
    </xf>
    <xf numFmtId="0" fontId="126" fillId="0" borderId="73" xfId="0" applyFont="1" applyBorder="1" applyAlignment="1">
      <alignment horizontal="center" vertical="center" wrapText="1"/>
    </xf>
    <xf numFmtId="0" fontId="128" fillId="25" borderId="77" xfId="0" applyFont="1" applyFill="1" applyBorder="1" applyAlignment="1">
      <alignment horizontal="center" vertical="center" wrapText="1"/>
    </xf>
    <xf numFmtId="0" fontId="128" fillId="26" borderId="77" xfId="0" applyFont="1" applyFill="1" applyBorder="1" applyAlignment="1">
      <alignment horizontal="center" vertical="center" wrapText="1"/>
    </xf>
    <xf numFmtId="0" fontId="128" fillId="18" borderId="77" xfId="0" applyFont="1" applyFill="1" applyBorder="1" applyAlignment="1">
      <alignment horizontal="center" vertical="center" wrapText="1"/>
    </xf>
    <xf numFmtId="0" fontId="128" fillId="27" borderId="77" xfId="0" applyFont="1" applyFill="1" applyBorder="1" applyAlignment="1">
      <alignment horizontal="center" vertical="center" wrapText="1"/>
    </xf>
    <xf numFmtId="0" fontId="128" fillId="24" borderId="44" xfId="0" applyFont="1" applyFill="1" applyBorder="1" applyAlignment="1">
      <alignment horizontal="center" vertical="center" wrapText="1"/>
    </xf>
    <xf numFmtId="0" fontId="129" fillId="14" borderId="10" xfId="0" applyFont="1" applyFill="1" applyBorder="1" applyAlignment="1">
      <alignment vertical="center" wrapText="1"/>
    </xf>
    <xf numFmtId="0" fontId="130" fillId="4" borderId="13" xfId="0" applyFont="1" applyFill="1" applyBorder="1" applyAlignment="1">
      <alignment horizontal="center" vertical="center" wrapText="1"/>
    </xf>
    <xf numFmtId="0" fontId="130" fillId="4" borderId="25" xfId="0" applyFont="1" applyFill="1" applyBorder="1" applyAlignment="1">
      <alignment horizontal="center" vertical="center" wrapText="1"/>
    </xf>
    <xf numFmtId="0" fontId="130" fillId="51" borderId="25" xfId="0" applyFont="1" applyFill="1" applyBorder="1" applyAlignment="1">
      <alignment horizontal="center" vertical="center" wrapText="1"/>
    </xf>
    <xf numFmtId="0" fontId="129" fillId="30" borderId="10" xfId="0" applyFont="1" applyFill="1" applyBorder="1" applyAlignment="1">
      <alignment vertical="center" wrapText="1"/>
    </xf>
    <xf numFmtId="0" fontId="72" fillId="19" borderId="9" xfId="0" applyFont="1" applyFill="1" applyBorder="1" applyAlignment="1">
      <alignment vertical="center" wrapText="1"/>
    </xf>
    <xf numFmtId="0" fontId="72" fillId="19" borderId="36" xfId="0" applyFont="1" applyFill="1" applyBorder="1" applyAlignment="1">
      <alignment vertical="center" wrapText="1"/>
    </xf>
    <xf numFmtId="9" fontId="72" fillId="18" borderId="9" xfId="0" applyNumberFormat="1" applyFont="1" applyFill="1" applyBorder="1" applyAlignment="1">
      <alignment horizontal="center" vertical="center" wrapText="1"/>
    </xf>
    <xf numFmtId="9" fontId="72" fillId="18" borderId="114" xfId="0" applyNumberFormat="1" applyFont="1" applyFill="1" applyBorder="1" applyAlignment="1">
      <alignment horizontal="center" vertical="center" wrapText="1"/>
    </xf>
    <xf numFmtId="0" fontId="129" fillId="43" borderId="10" xfId="0" applyFont="1" applyFill="1" applyBorder="1" applyAlignment="1">
      <alignment vertical="center" wrapText="1"/>
    </xf>
    <xf numFmtId="0" fontId="131" fillId="19" borderId="0" xfId="0" applyFont="1" applyFill="1" applyAlignment="1">
      <alignment vertical="center" wrapText="1"/>
    </xf>
    <xf numFmtId="0" fontId="129" fillId="14" borderId="56" xfId="0" applyFont="1" applyFill="1" applyBorder="1" applyAlignment="1">
      <alignment vertical="center" wrapText="1"/>
    </xf>
    <xf numFmtId="0" fontId="129" fillId="14" borderId="60" xfId="0" applyFont="1" applyFill="1" applyBorder="1" applyAlignment="1">
      <alignment vertical="center" wrapText="1"/>
    </xf>
    <xf numFmtId="0" fontId="129" fillId="14" borderId="61" xfId="0" applyFont="1" applyFill="1" applyBorder="1" applyAlignment="1">
      <alignment vertical="center" wrapText="1"/>
    </xf>
    <xf numFmtId="0" fontId="57" fillId="53" borderId="24" xfId="0" applyFont="1" applyFill="1" applyBorder="1" applyAlignment="1">
      <alignment wrapText="1"/>
    </xf>
    <xf numFmtId="0" fontId="57" fillId="53" borderId="24" xfId="0" applyFont="1" applyFill="1" applyBorder="1" applyAlignment="1">
      <alignment vertical="center" wrapText="1"/>
    </xf>
    <xf numFmtId="0" fontId="58" fillId="25" borderId="47" xfId="0" applyFont="1" applyFill="1" applyBorder="1" applyAlignment="1">
      <alignment vertical="center" wrapText="1"/>
    </xf>
    <xf numFmtId="0" fontId="57" fillId="0" borderId="179" xfId="0" applyFont="1" applyBorder="1" applyAlignment="1">
      <alignment wrapText="1"/>
    </xf>
    <xf numFmtId="0" fontId="58" fillId="18" borderId="15" xfId="0" applyFont="1" applyFill="1" applyBorder="1" applyAlignment="1">
      <alignment wrapText="1"/>
    </xf>
    <xf numFmtId="0" fontId="80" fillId="30" borderId="83" xfId="0" applyFont="1" applyFill="1" applyBorder="1" applyAlignment="1">
      <alignment vertical="center" wrapText="1"/>
    </xf>
    <xf numFmtId="0" fontId="80" fillId="30" borderId="84" xfId="0" applyFont="1" applyFill="1" applyBorder="1" applyAlignment="1">
      <alignment vertical="center" wrapText="1"/>
    </xf>
    <xf numFmtId="0" fontId="80" fillId="30" borderId="69" xfId="0" applyFont="1" applyFill="1" applyBorder="1" applyAlignment="1">
      <alignment vertical="center" wrapText="1"/>
    </xf>
    <xf numFmtId="0" fontId="80" fillId="30" borderId="70" xfId="0" applyFont="1" applyFill="1" applyBorder="1" applyAlignment="1">
      <alignment vertical="center" wrapText="1"/>
    </xf>
    <xf numFmtId="0" fontId="57" fillId="19" borderId="24" xfId="0" applyFont="1" applyFill="1" applyBorder="1" applyAlignment="1">
      <alignment vertical="center" wrapText="1"/>
    </xf>
    <xf numFmtId="0" fontId="80" fillId="19" borderId="24" xfId="0" applyFont="1" applyFill="1" applyBorder="1" applyAlignment="1">
      <alignment horizontal="center" vertical="center" wrapText="1"/>
    </xf>
    <xf numFmtId="43" fontId="57" fillId="19" borderId="24" xfId="3" applyFont="1" applyFill="1" applyBorder="1" applyAlignment="1">
      <alignment horizontal="center" vertical="center" wrapText="1"/>
    </xf>
    <xf numFmtId="167" fontId="59" fillId="19" borderId="24" xfId="0" applyNumberFormat="1" applyFont="1" applyFill="1" applyBorder="1" applyAlignment="1">
      <alignment horizontal="center" vertical="center"/>
    </xf>
    <xf numFmtId="0" fontId="57" fillId="19" borderId="20" xfId="0" applyFont="1" applyFill="1" applyBorder="1" applyAlignment="1">
      <alignment wrapText="1"/>
    </xf>
    <xf numFmtId="0" fontId="52" fillId="19" borderId="51" xfId="0" applyFont="1" applyFill="1" applyBorder="1" applyAlignment="1">
      <alignment wrapText="1"/>
    </xf>
    <xf numFmtId="0" fontId="82" fillId="19" borderId="24" xfId="0" applyFont="1" applyFill="1" applyBorder="1" applyAlignment="1">
      <alignment wrapText="1"/>
    </xf>
    <xf numFmtId="0" fontId="45" fillId="19" borderId="24" xfId="0" applyFont="1" applyFill="1" applyBorder="1" applyAlignment="1">
      <alignment horizontal="center" vertical="center" wrapText="1"/>
    </xf>
    <xf numFmtId="0" fontId="48" fillId="19" borderId="24" xfId="0" applyFont="1" applyFill="1" applyBorder="1" applyAlignment="1">
      <alignment vertical="center" wrapText="1"/>
    </xf>
    <xf numFmtId="0" fontId="48" fillId="19" borderId="24" xfId="0" applyFont="1" applyFill="1" applyBorder="1" applyAlignment="1">
      <alignment wrapText="1"/>
    </xf>
    <xf numFmtId="0" fontId="129" fillId="14" borderId="16" xfId="0" applyFont="1" applyFill="1" applyBorder="1" applyAlignment="1">
      <alignment vertical="center" wrapText="1"/>
    </xf>
    <xf numFmtId="0" fontId="129" fillId="43" borderId="56" xfId="0" applyFont="1" applyFill="1" applyBorder="1" applyAlignment="1">
      <alignment vertical="center" wrapText="1"/>
    </xf>
    <xf numFmtId="0" fontId="129" fillId="43" borderId="16" xfId="0" applyFont="1" applyFill="1" applyBorder="1" applyAlignment="1">
      <alignment vertical="center" wrapText="1"/>
    </xf>
    <xf numFmtId="0" fontId="133" fillId="21" borderId="24" xfId="0" applyFont="1" applyFill="1" applyBorder="1" applyAlignment="1">
      <alignment horizontal="center" vertical="center" wrapText="1"/>
    </xf>
    <xf numFmtId="0" fontId="129" fillId="43" borderId="69" xfId="0" applyFont="1" applyFill="1" applyBorder="1" applyAlignment="1">
      <alignment vertical="center" wrapText="1"/>
    </xf>
    <xf numFmtId="0" fontId="129" fillId="43" borderId="70" xfId="0" applyFont="1" applyFill="1" applyBorder="1" applyAlignment="1">
      <alignment vertical="center" wrapText="1"/>
    </xf>
    <xf numFmtId="0" fontId="129" fillId="14" borderId="66" xfId="0" applyFont="1" applyFill="1" applyBorder="1" applyAlignment="1">
      <alignment vertical="center" wrapText="1"/>
    </xf>
    <xf numFmtId="0" fontId="129" fillId="14" borderId="67" xfId="0" applyFont="1" applyFill="1" applyBorder="1" applyAlignment="1">
      <alignment vertical="center" wrapText="1"/>
    </xf>
    <xf numFmtId="0" fontId="129" fillId="14" borderId="69" xfId="0" applyFont="1" applyFill="1" applyBorder="1" applyAlignment="1">
      <alignment vertical="center" wrapText="1"/>
    </xf>
    <xf numFmtId="0" fontId="129" fillId="14" borderId="70" xfId="0" applyFont="1" applyFill="1" applyBorder="1" applyAlignment="1">
      <alignment vertical="center" wrapText="1"/>
    </xf>
    <xf numFmtId="2" fontId="72" fillId="0" borderId="24" xfId="0" applyNumberFormat="1" applyFont="1" applyBorder="1" applyAlignment="1">
      <alignment horizontal="center" vertical="center" wrapText="1"/>
    </xf>
    <xf numFmtId="0" fontId="56" fillId="18" borderId="24" xfId="0" applyFont="1" applyFill="1" applyBorder="1" applyAlignment="1">
      <alignment horizontal="center" vertical="center"/>
    </xf>
    <xf numFmtId="0" fontId="60" fillId="18" borderId="24" xfId="0" applyFont="1" applyFill="1" applyBorder="1" applyAlignment="1">
      <alignment wrapText="1"/>
    </xf>
    <xf numFmtId="0" fontId="80" fillId="30" borderId="55" xfId="0" applyFont="1" applyFill="1" applyBorder="1" applyAlignment="1">
      <alignment vertical="center" wrapText="1"/>
    </xf>
    <xf numFmtId="0" fontId="80" fillId="43" borderId="10" xfId="0" applyFont="1" applyFill="1" applyBorder="1" applyAlignment="1">
      <alignment vertical="center" wrapText="1"/>
    </xf>
    <xf numFmtId="0" fontId="80" fillId="52" borderId="10" xfId="0" applyFont="1" applyFill="1" applyBorder="1" applyAlignment="1">
      <alignment vertical="center" wrapText="1"/>
    </xf>
    <xf numFmtId="0" fontId="58" fillId="19" borderId="34" xfId="0" applyFont="1" applyFill="1" applyBorder="1" applyAlignment="1">
      <alignment horizontal="center" vertical="center" wrapText="1"/>
    </xf>
    <xf numFmtId="0" fontId="134" fillId="18" borderId="24" xfId="0" applyFont="1" applyFill="1" applyBorder="1" applyAlignment="1">
      <alignment vertical="center" wrapText="1"/>
    </xf>
    <xf numFmtId="0" fontId="129" fillId="43" borderId="38" xfId="0" applyFont="1" applyFill="1" applyBorder="1" applyAlignment="1">
      <alignment vertical="center" wrapText="1"/>
    </xf>
    <xf numFmtId="0" fontId="129" fillId="43" borderId="25" xfId="0" applyFont="1" applyFill="1" applyBorder="1" applyAlignment="1">
      <alignment vertical="center" wrapText="1"/>
    </xf>
    <xf numFmtId="0" fontId="129" fillId="14" borderId="126" xfId="0" applyFont="1" applyFill="1" applyBorder="1" applyAlignment="1">
      <alignment vertical="center" wrapText="1"/>
    </xf>
    <xf numFmtId="0" fontId="72" fillId="30" borderId="69" xfId="0" applyFont="1" applyFill="1" applyBorder="1" applyAlignment="1">
      <alignment vertical="center" wrapText="1"/>
    </xf>
    <xf numFmtId="0" fontId="72" fillId="30" borderId="70" xfId="0" applyFont="1" applyFill="1" applyBorder="1" applyAlignment="1">
      <alignment vertical="center" wrapText="1"/>
    </xf>
    <xf numFmtId="0" fontId="120" fillId="30" borderId="10" xfId="0" applyFont="1" applyFill="1" applyBorder="1" applyAlignment="1">
      <alignment vertical="center" wrapText="1"/>
    </xf>
    <xf numFmtId="0" fontId="120" fillId="30" borderId="16" xfId="0" applyFont="1" applyFill="1" applyBorder="1" applyAlignment="1">
      <alignment vertical="center" wrapText="1"/>
    </xf>
    <xf numFmtId="0" fontId="80" fillId="30" borderId="10" xfId="0" applyFont="1" applyFill="1" applyBorder="1" applyAlignment="1">
      <alignment vertical="center" wrapText="1"/>
    </xf>
    <xf numFmtId="0" fontId="80" fillId="43" borderId="16" xfId="0" applyFont="1" applyFill="1" applyBorder="1" applyAlignment="1">
      <alignment vertical="center" wrapText="1"/>
    </xf>
    <xf numFmtId="0" fontId="80" fillId="43" borderId="66" xfId="0" applyFont="1" applyFill="1" applyBorder="1" applyAlignment="1">
      <alignment vertical="center" wrapText="1"/>
    </xf>
    <xf numFmtId="0" fontId="80" fillId="43" borderId="67" xfId="0" applyFont="1" applyFill="1" applyBorder="1" applyAlignment="1">
      <alignment vertical="center" wrapText="1"/>
    </xf>
    <xf numFmtId="0" fontId="80" fillId="43" borderId="69" xfId="0" applyFont="1" applyFill="1" applyBorder="1" applyAlignment="1">
      <alignment vertical="center" wrapText="1"/>
    </xf>
    <xf numFmtId="0" fontId="80" fillId="43" borderId="70" xfId="0" applyFont="1" applyFill="1" applyBorder="1" applyAlignment="1">
      <alignment vertical="center" wrapText="1"/>
    </xf>
    <xf numFmtId="0" fontId="135" fillId="4" borderId="12" xfId="0" applyFont="1" applyFill="1" applyBorder="1" applyAlignment="1">
      <alignment horizontal="center" vertical="center" wrapText="1"/>
    </xf>
    <xf numFmtId="0" fontId="100" fillId="4" borderId="12" xfId="0" applyFont="1" applyFill="1" applyBorder="1" applyAlignment="1">
      <alignment horizontal="center" vertical="center" wrapText="1"/>
    </xf>
    <xf numFmtId="165" fontId="137" fillId="42" borderId="109" xfId="1" applyNumberFormat="1" applyFont="1" applyFill="1" applyBorder="1" applyAlignment="1">
      <alignment horizontal="center" vertical="center" wrapText="1"/>
    </xf>
    <xf numFmtId="165" fontId="138" fillId="18" borderId="109" xfId="1" applyNumberFormat="1" applyFont="1" applyFill="1" applyBorder="1" applyAlignment="1">
      <alignment horizontal="center" vertical="center" wrapText="1"/>
    </xf>
    <xf numFmtId="0" fontId="129" fillId="30" borderId="56" xfId="0" applyFont="1" applyFill="1" applyBorder="1" applyAlignment="1">
      <alignment vertical="center" wrapText="1"/>
    </xf>
    <xf numFmtId="0" fontId="129" fillId="43" borderId="63" xfId="0" applyFont="1" applyFill="1" applyBorder="1" applyAlignment="1">
      <alignment vertical="center" wrapText="1"/>
    </xf>
    <xf numFmtId="0" fontId="129" fillId="43" borderId="17" xfId="0" applyFont="1" applyFill="1" applyBorder="1" applyAlignment="1">
      <alignment vertical="center" wrapText="1"/>
    </xf>
    <xf numFmtId="0" fontId="129" fillId="43" borderId="66" xfId="0" applyFont="1" applyFill="1" applyBorder="1" applyAlignment="1">
      <alignment vertical="center" wrapText="1"/>
    </xf>
    <xf numFmtId="0" fontId="129" fillId="43" borderId="67" xfId="0" applyFont="1" applyFill="1" applyBorder="1" applyAlignment="1">
      <alignment vertical="center" wrapText="1"/>
    </xf>
    <xf numFmtId="0" fontId="72" fillId="30" borderId="25" xfId="0" applyFont="1" applyFill="1" applyBorder="1" applyAlignment="1">
      <alignment vertical="center" wrapText="1"/>
    </xf>
    <xf numFmtId="0" fontId="72" fillId="30" borderId="71" xfId="0" applyFont="1" applyFill="1" applyBorder="1" applyAlignment="1">
      <alignment vertical="center" wrapText="1"/>
    </xf>
    <xf numFmtId="0" fontId="129" fillId="30" borderId="16" xfId="0" applyFont="1" applyFill="1" applyBorder="1" applyAlignment="1">
      <alignment vertical="center" wrapText="1"/>
    </xf>
    <xf numFmtId="168" fontId="72" fillId="21" borderId="14" xfId="0" applyNumberFormat="1" applyFont="1" applyFill="1" applyBorder="1" applyAlignment="1">
      <alignment horizontal="center" vertical="center" wrapText="1"/>
    </xf>
    <xf numFmtId="0" fontId="139" fillId="21" borderId="24" xfId="0" applyFont="1" applyFill="1" applyBorder="1" applyAlignment="1">
      <alignment horizontal="center" vertical="center" wrapText="1"/>
    </xf>
    <xf numFmtId="10" fontId="136" fillId="70" borderId="109" xfId="1" applyNumberFormat="1" applyFont="1" applyFill="1" applyBorder="1" applyAlignment="1">
      <alignment horizontal="center" vertical="center" wrapText="1"/>
    </xf>
    <xf numFmtId="0" fontId="74" fillId="21" borderId="43" xfId="0" applyFont="1" applyFill="1" applyBorder="1" applyAlignment="1">
      <alignment horizontal="center" vertical="center" wrapText="1"/>
    </xf>
    <xf numFmtId="0" fontId="72" fillId="21" borderId="0" xfId="0" applyFont="1" applyFill="1" applyAlignment="1">
      <alignment horizontal="center" vertical="center" wrapText="1"/>
    </xf>
    <xf numFmtId="2" fontId="45" fillId="21" borderId="24" xfId="0" applyNumberFormat="1" applyFont="1" applyFill="1" applyBorder="1" applyAlignment="1">
      <alignment horizontal="center" vertical="center" wrapText="1"/>
    </xf>
    <xf numFmtId="0" fontId="129" fillId="14" borderId="130" xfId="0" applyFont="1" applyFill="1" applyBorder="1" applyAlignment="1">
      <alignment vertical="center" wrapText="1"/>
    </xf>
    <xf numFmtId="0" fontId="129" fillId="14" borderId="131" xfId="0" applyFont="1" applyFill="1" applyBorder="1" applyAlignment="1">
      <alignment vertical="center" wrapText="1"/>
    </xf>
    <xf numFmtId="165" fontId="72" fillId="0" borderId="115" xfId="0" applyNumberFormat="1" applyFont="1" applyBorder="1" applyAlignment="1">
      <alignment horizontal="center" vertical="center" wrapText="1"/>
    </xf>
    <xf numFmtId="0" fontId="80" fillId="43" borderId="63" xfId="0" applyFont="1" applyFill="1" applyBorder="1" applyAlignment="1">
      <alignment vertical="center" wrapText="1"/>
    </xf>
    <xf numFmtId="0" fontId="80" fillId="43" borderId="17" xfId="0" applyFont="1" applyFill="1" applyBorder="1" applyAlignment="1">
      <alignment vertical="center" wrapText="1"/>
    </xf>
    <xf numFmtId="165" fontId="92" fillId="22" borderId="24" xfId="1" applyNumberFormat="1" applyFont="1" applyFill="1" applyBorder="1" applyAlignment="1">
      <alignment horizontal="center"/>
    </xf>
    <xf numFmtId="165" fontId="18" fillId="18" borderId="24" xfId="1" applyNumberFormat="1" applyFont="1" applyFill="1" applyBorder="1" applyAlignment="1">
      <alignment horizontal="center"/>
    </xf>
    <xf numFmtId="165" fontId="109" fillId="18" borderId="24" xfId="1" applyNumberFormat="1" applyFont="1" applyFill="1" applyBorder="1" applyAlignment="1">
      <alignment horizontal="center"/>
    </xf>
    <xf numFmtId="0" fontId="42" fillId="19" borderId="44" xfId="0" applyFont="1" applyFill="1" applyBorder="1" applyAlignment="1">
      <alignment wrapText="1"/>
    </xf>
    <xf numFmtId="165" fontId="0" fillId="24" borderId="180" xfId="0" applyNumberFormat="1" applyFill="1" applyBorder="1" applyAlignment="1">
      <alignment horizontal="center" vertical="center"/>
    </xf>
    <xf numFmtId="0" fontId="124" fillId="19" borderId="41" xfId="0" applyFont="1" applyFill="1" applyBorder="1" applyAlignment="1">
      <alignment vertical="center"/>
    </xf>
    <xf numFmtId="165" fontId="109" fillId="22" borderId="24" xfId="1" applyNumberFormat="1" applyFont="1" applyFill="1" applyBorder="1" applyAlignment="1">
      <alignment horizontal="center" vertical="center"/>
    </xf>
    <xf numFmtId="165" fontId="35" fillId="25" borderId="24" xfId="0" applyNumberFormat="1" applyFont="1" applyFill="1" applyBorder="1" applyAlignment="1">
      <alignment horizontal="center" vertical="center"/>
    </xf>
    <xf numFmtId="165" fontId="0" fillId="48" borderId="24" xfId="1" applyNumberFormat="1" applyFont="1" applyFill="1" applyBorder="1" applyAlignment="1">
      <alignment horizontal="center" vertical="center"/>
    </xf>
    <xf numFmtId="165" fontId="92" fillId="25" borderId="24" xfId="0" applyNumberFormat="1" applyFont="1" applyFill="1" applyBorder="1" applyAlignment="1">
      <alignment horizontal="center" vertical="center"/>
    </xf>
    <xf numFmtId="165" fontId="18" fillId="22" borderId="149" xfId="1" applyNumberFormat="1" applyFont="1" applyFill="1" applyBorder="1" applyAlignment="1">
      <alignment horizontal="center" vertical="center"/>
    </xf>
    <xf numFmtId="165" fontId="0" fillId="22" borderId="149" xfId="1" applyNumberFormat="1" applyFont="1" applyFill="1" applyBorder="1" applyAlignment="1">
      <alignment horizontal="center" vertical="center"/>
    </xf>
    <xf numFmtId="0" fontId="73" fillId="2" borderId="27" xfId="0" applyFont="1" applyFill="1" applyBorder="1" applyAlignment="1">
      <alignment horizontal="center" vertical="center" wrapText="1"/>
    </xf>
    <xf numFmtId="0" fontId="72" fillId="0" borderId="28" xfId="0" applyFont="1" applyBorder="1"/>
    <xf numFmtId="0" fontId="73" fillId="7" borderId="42" xfId="0" applyFont="1" applyFill="1" applyBorder="1" applyAlignment="1">
      <alignment horizontal="left" vertical="center" wrapText="1"/>
    </xf>
    <xf numFmtId="0" fontId="72" fillId="0" borderId="26" xfId="0" applyFont="1" applyBorder="1"/>
    <xf numFmtId="0" fontId="73" fillId="10" borderId="5" xfId="0" applyFont="1" applyFill="1" applyBorder="1" applyAlignment="1">
      <alignment horizontal="center" vertical="center" wrapText="1"/>
    </xf>
    <xf numFmtId="0" fontId="72" fillId="0" borderId="6" xfId="0" applyFont="1" applyBorder="1"/>
    <xf numFmtId="0" fontId="76" fillId="12" borderId="5" xfId="0" applyFont="1" applyFill="1" applyBorder="1" applyAlignment="1">
      <alignment vertical="center" wrapText="1"/>
    </xf>
    <xf numFmtId="0" fontId="73" fillId="15" borderId="5" xfId="0" applyFont="1" applyFill="1" applyBorder="1" applyAlignment="1">
      <alignment horizontal="center" vertical="center" wrapText="1"/>
    </xf>
    <xf numFmtId="0" fontId="97" fillId="7" borderId="68" xfId="0" applyFont="1" applyFill="1" applyBorder="1" applyAlignment="1">
      <alignment horizontal="center" vertical="center" wrapText="1"/>
    </xf>
    <xf numFmtId="0" fontId="96" fillId="0" borderId="26" xfId="0" applyFont="1" applyBorder="1"/>
    <xf numFmtId="0" fontId="100" fillId="10" borderId="53" xfId="0" applyFont="1" applyFill="1" applyBorder="1" applyAlignment="1">
      <alignment vertical="center" wrapText="1"/>
    </xf>
    <xf numFmtId="0" fontId="101" fillId="0" borderId="9" xfId="0" applyFont="1" applyBorder="1"/>
    <xf numFmtId="0" fontId="87" fillId="12" borderId="53" xfId="0" applyFont="1" applyFill="1" applyBorder="1" applyAlignment="1">
      <alignment vertical="center" wrapText="1"/>
    </xf>
    <xf numFmtId="0" fontId="82" fillId="0" borderId="9" xfId="0" applyFont="1" applyBorder="1"/>
    <xf numFmtId="0" fontId="76" fillId="12" borderId="53" xfId="0" applyFont="1" applyFill="1" applyBorder="1" applyAlignment="1">
      <alignment vertical="center" wrapText="1"/>
    </xf>
    <xf numFmtId="0" fontId="72" fillId="0" borderId="13" xfId="0" applyFont="1" applyBorder="1"/>
    <xf numFmtId="0" fontId="72" fillId="0" borderId="9" xfId="0" applyFont="1" applyBorder="1"/>
    <xf numFmtId="0" fontId="76" fillId="12" borderId="68" xfId="0" applyFont="1" applyFill="1" applyBorder="1" applyAlignment="1">
      <alignment vertical="center" wrapText="1"/>
    </xf>
    <xf numFmtId="0" fontId="72" fillId="0" borderId="18" xfId="0" applyFont="1" applyBorder="1"/>
    <xf numFmtId="0" fontId="73" fillId="10" borderId="53" xfId="0" applyFont="1" applyFill="1" applyBorder="1" applyAlignment="1">
      <alignment vertical="center" wrapText="1"/>
    </xf>
    <xf numFmtId="0" fontId="76" fillId="12" borderId="64" xfId="0" applyFont="1" applyFill="1" applyBorder="1" applyAlignment="1">
      <alignment vertical="center" wrapText="1"/>
    </xf>
    <xf numFmtId="0" fontId="72" fillId="0" borderId="50" xfId="0" applyFont="1" applyBorder="1"/>
    <xf numFmtId="0" fontId="73" fillId="10" borderId="64" xfId="0" applyFont="1" applyFill="1" applyBorder="1" applyAlignment="1">
      <alignment vertical="center" wrapText="1"/>
    </xf>
    <xf numFmtId="0" fontId="76" fillId="12" borderId="27" xfId="0" applyFont="1" applyFill="1" applyBorder="1" applyAlignment="1">
      <alignment vertical="center" wrapText="1"/>
    </xf>
    <xf numFmtId="0" fontId="72" fillId="0" borderId="71" xfId="0" applyFont="1" applyBorder="1"/>
    <xf numFmtId="0" fontId="61" fillId="12" borderId="53" xfId="0" applyFont="1" applyFill="1" applyBorder="1" applyAlignment="1">
      <alignment vertical="center" wrapText="1"/>
    </xf>
    <xf numFmtId="0" fontId="57" fillId="0" borderId="13" xfId="0" applyFont="1" applyBorder="1"/>
    <xf numFmtId="0" fontId="63" fillId="7" borderId="53" xfId="0" applyFont="1" applyFill="1" applyBorder="1" applyAlignment="1">
      <alignment horizontal="center" vertical="center" wrapText="1"/>
    </xf>
    <xf numFmtId="0" fontId="62" fillId="0" borderId="9" xfId="0" applyFont="1" applyBorder="1"/>
    <xf numFmtId="0" fontId="58" fillId="10" borderId="53" xfId="0" applyFont="1" applyFill="1" applyBorder="1" applyAlignment="1">
      <alignment vertical="center" wrapText="1"/>
    </xf>
    <xf numFmtId="0" fontId="57" fillId="0" borderId="9" xfId="0" applyFont="1" applyBorder="1"/>
    <xf numFmtId="0" fontId="61" fillId="12" borderId="38" xfId="0" applyFont="1" applyFill="1" applyBorder="1" applyAlignment="1">
      <alignment vertical="center" wrapText="1"/>
    </xf>
    <xf numFmtId="0" fontId="57" fillId="0" borderId="0" xfId="0" applyFont="1"/>
    <xf numFmtId="0" fontId="58" fillId="10" borderId="27" xfId="0" applyFont="1" applyFill="1" applyBorder="1" applyAlignment="1">
      <alignment vertical="center" wrapText="1"/>
    </xf>
    <xf numFmtId="0" fontId="57" fillId="0" borderId="71" xfId="0" applyFont="1" applyBorder="1"/>
    <xf numFmtId="0" fontId="61" fillId="12" borderId="68" xfId="0" applyFont="1" applyFill="1" applyBorder="1" applyAlignment="1">
      <alignment vertical="center" wrapText="1"/>
    </xf>
    <xf numFmtId="0" fontId="57" fillId="0" borderId="18" xfId="0" applyFont="1" applyBorder="1"/>
    <xf numFmtId="0" fontId="58" fillId="18" borderId="24" xfId="0" applyFont="1" applyFill="1" applyBorder="1" applyAlignment="1">
      <alignment horizontal="left" vertical="center" wrapText="1"/>
    </xf>
    <xf numFmtId="0" fontId="61" fillId="12" borderId="27" xfId="0" applyFont="1" applyFill="1" applyBorder="1" applyAlignment="1">
      <alignment vertical="center" wrapText="1"/>
    </xf>
    <xf numFmtId="0" fontId="57" fillId="0" borderId="54" xfId="0" applyFont="1" applyBorder="1"/>
    <xf numFmtId="0" fontId="70" fillId="7" borderId="53" xfId="0" applyFont="1" applyFill="1" applyBorder="1" applyAlignment="1">
      <alignment horizontal="center" vertical="center" wrapText="1"/>
    </xf>
    <xf numFmtId="0" fontId="71" fillId="0" borderId="54" xfId="0" applyFont="1" applyBorder="1"/>
    <xf numFmtId="0" fontId="58" fillId="10" borderId="8" xfId="0" applyFont="1" applyFill="1" applyBorder="1" applyAlignment="1">
      <alignment vertical="center" wrapText="1"/>
    </xf>
    <xf numFmtId="0" fontId="32" fillId="7" borderId="42" xfId="0" applyFont="1" applyFill="1" applyBorder="1" applyAlignment="1">
      <alignment horizontal="center" vertical="center" wrapText="1"/>
    </xf>
    <xf numFmtId="0" fontId="52" fillId="0" borderId="26" xfId="0" applyFont="1" applyBorder="1"/>
    <xf numFmtId="0" fontId="83" fillId="10" borderId="8" xfId="0" applyFont="1" applyFill="1" applyBorder="1" applyAlignment="1">
      <alignment vertical="center" wrapText="1"/>
    </xf>
    <xf numFmtId="0" fontId="61" fillId="12" borderId="8" xfId="0" applyFont="1" applyFill="1" applyBorder="1" applyAlignment="1">
      <alignment vertical="center" wrapText="1"/>
    </xf>
    <xf numFmtId="0" fontId="50" fillId="12" borderId="5" xfId="0" applyFont="1" applyFill="1" applyBorder="1" applyAlignment="1">
      <alignment vertical="center" wrapText="1"/>
    </xf>
    <xf numFmtId="0" fontId="48" fillId="0" borderId="13" xfId="0" applyFont="1" applyBorder="1"/>
    <xf numFmtId="0" fontId="45" fillId="7" borderId="42" xfId="0" applyFont="1" applyFill="1" applyBorder="1" applyAlignment="1">
      <alignment horizontal="center" vertical="center" wrapText="1"/>
    </xf>
    <xf numFmtId="0" fontId="48" fillId="0" borderId="18" xfId="0" applyFont="1" applyBorder="1"/>
    <xf numFmtId="0" fontId="45" fillId="10" borderId="5" xfId="0" applyFont="1" applyFill="1" applyBorder="1" applyAlignment="1">
      <alignment vertical="center" wrapText="1"/>
    </xf>
    <xf numFmtId="9" fontId="13" fillId="0" borderId="96" xfId="0" applyNumberFormat="1" applyFont="1" applyBorder="1" applyAlignment="1">
      <alignment horizontal="center" vertical="center"/>
    </xf>
    <xf numFmtId="9" fontId="13" fillId="0" borderId="24" xfId="0" applyNumberFormat="1" applyFont="1" applyBorder="1" applyAlignment="1">
      <alignment horizontal="center" vertical="center"/>
    </xf>
    <xf numFmtId="9" fontId="13" fillId="0" borderId="102" xfId="0" applyNumberFormat="1" applyFont="1" applyBorder="1" applyAlignment="1">
      <alignment horizontal="center" vertical="center"/>
    </xf>
    <xf numFmtId="9" fontId="13" fillId="0" borderId="32" xfId="0" applyNumberFormat="1" applyFont="1" applyBorder="1" applyAlignment="1">
      <alignment horizontal="center" vertical="center"/>
    </xf>
    <xf numFmtId="9" fontId="13" fillId="0" borderId="101" xfId="0" applyNumberFormat="1" applyFont="1" applyBorder="1" applyAlignment="1">
      <alignment horizontal="center" vertical="center"/>
    </xf>
    <xf numFmtId="9" fontId="13" fillId="0" borderId="104" xfId="0" applyNumberFormat="1" applyFont="1" applyBorder="1" applyAlignment="1">
      <alignment horizontal="center" vertical="center"/>
    </xf>
    <xf numFmtId="9" fontId="13" fillId="0" borderId="33" xfId="0" applyNumberFormat="1" applyFont="1" applyBorder="1" applyAlignment="1">
      <alignment horizontal="center" vertical="center"/>
    </xf>
    <xf numFmtId="9" fontId="13" fillId="0" borderId="105" xfId="0" applyNumberFormat="1" applyFont="1" applyBorder="1" applyAlignment="1">
      <alignment horizontal="center" vertical="center"/>
    </xf>
    <xf numFmtId="9" fontId="13" fillId="0" borderId="95" xfId="0" applyNumberFormat="1" applyFont="1" applyBorder="1" applyAlignment="1">
      <alignment horizontal="center" vertical="center"/>
    </xf>
    <xf numFmtId="0" fontId="18" fillId="18" borderId="92" xfId="0" applyFont="1" applyFill="1" applyBorder="1" applyAlignment="1">
      <alignment horizontal="center" vertical="center" wrapText="1"/>
    </xf>
    <xf numFmtId="0" fontId="18" fillId="18" borderId="93" xfId="0" applyFont="1" applyFill="1" applyBorder="1" applyAlignment="1">
      <alignment horizontal="center" vertical="center" wrapText="1"/>
    </xf>
    <xf numFmtId="10" fontId="132" fillId="0" borderId="27" xfId="0" applyNumberFormat="1" applyFont="1" applyBorder="1" applyAlignment="1">
      <alignment horizontal="center" vertical="center"/>
    </xf>
    <xf numFmtId="10" fontId="132" fillId="0" borderId="28" xfId="0" applyNumberFormat="1" applyFont="1" applyBorder="1" applyAlignment="1">
      <alignment horizontal="center" vertical="center"/>
    </xf>
    <xf numFmtId="0" fontId="18" fillId="0" borderId="27" xfId="0" applyFont="1" applyBorder="1" applyAlignment="1">
      <alignment horizontal="center" vertical="center" wrapText="1"/>
    </xf>
    <xf numFmtId="0" fontId="18" fillId="0" borderId="28" xfId="0" applyFont="1" applyBorder="1" applyAlignment="1">
      <alignment horizontal="center" vertical="center" wrapText="1"/>
    </xf>
    <xf numFmtId="10" fontId="18" fillId="0" borderId="43" xfId="1" applyNumberFormat="1" applyFont="1" applyBorder="1" applyAlignment="1">
      <alignment horizontal="center" vertical="center" wrapText="1"/>
    </xf>
    <xf numFmtId="10" fontId="18" fillId="0" borderId="44" xfId="1" applyNumberFormat="1" applyFont="1" applyBorder="1" applyAlignment="1">
      <alignment horizontal="center" vertical="center" wrapText="1"/>
    </xf>
    <xf numFmtId="10" fontId="111" fillId="69" borderId="43" xfId="0" applyNumberFormat="1" applyFont="1" applyFill="1" applyBorder="1" applyAlignment="1">
      <alignment horizontal="center" vertical="center"/>
    </xf>
    <xf numFmtId="10" fontId="111" fillId="69" borderId="44" xfId="0" applyNumberFormat="1" applyFont="1" applyFill="1" applyBorder="1" applyAlignment="1">
      <alignment horizontal="center" vertical="center"/>
    </xf>
    <xf numFmtId="0" fontId="28" fillId="25" borderId="12" xfId="0" applyFont="1" applyFill="1" applyBorder="1" applyAlignment="1">
      <alignment horizontal="justify" vertical="center" wrapText="1"/>
    </xf>
    <xf numFmtId="0" fontId="28" fillId="25" borderId="35" xfId="0" applyFont="1" applyFill="1" applyBorder="1" applyAlignment="1">
      <alignment horizontal="justify" vertical="center" wrapText="1"/>
    </xf>
    <xf numFmtId="10" fontId="89" fillId="49" borderId="43" xfId="0" applyNumberFormat="1" applyFont="1" applyFill="1" applyBorder="1" applyAlignment="1">
      <alignment horizontal="center" vertical="center"/>
    </xf>
    <xf numFmtId="10" fontId="89" fillId="49" borderId="44" xfId="0" applyNumberFormat="1" applyFont="1" applyFill="1" applyBorder="1" applyAlignment="1">
      <alignment horizontal="center" vertical="center"/>
    </xf>
    <xf numFmtId="10" fontId="111" fillId="49" borderId="43" xfId="0" applyNumberFormat="1" applyFont="1" applyFill="1" applyBorder="1" applyAlignment="1">
      <alignment horizontal="center" vertical="center"/>
    </xf>
    <xf numFmtId="10" fontId="111" fillId="49" borderId="44" xfId="0" applyNumberFormat="1" applyFont="1" applyFill="1" applyBorder="1" applyAlignment="1">
      <alignment horizontal="center" vertical="center"/>
    </xf>
    <xf numFmtId="10" fontId="111" fillId="60" borderId="43" xfId="0" applyNumberFormat="1" applyFont="1" applyFill="1" applyBorder="1" applyAlignment="1">
      <alignment horizontal="center" vertical="center"/>
    </xf>
    <xf numFmtId="10" fontId="111" fillId="60" borderId="44" xfId="0" applyNumberFormat="1" applyFont="1" applyFill="1" applyBorder="1" applyAlignment="1">
      <alignment horizontal="center" vertical="center"/>
    </xf>
    <xf numFmtId="10" fontId="18" fillId="0" borderId="36" xfId="1" applyNumberFormat="1" applyFont="1" applyBorder="1" applyAlignment="1">
      <alignment horizontal="center" vertical="center" wrapText="1"/>
    </xf>
    <xf numFmtId="10" fontId="18" fillId="0" borderId="165" xfId="1" applyNumberFormat="1" applyFont="1" applyBorder="1" applyAlignment="1">
      <alignment horizontal="center" vertical="center" wrapText="1"/>
    </xf>
    <xf numFmtId="10" fontId="18" fillId="0" borderId="37" xfId="1" applyNumberFormat="1" applyFont="1" applyBorder="1" applyAlignment="1">
      <alignment horizontal="center" vertical="center" wrapText="1"/>
    </xf>
    <xf numFmtId="10" fontId="18" fillId="0" borderId="40" xfId="1" applyNumberFormat="1" applyFont="1" applyBorder="1" applyAlignment="1">
      <alignment horizontal="center" vertical="center" wrapText="1"/>
    </xf>
    <xf numFmtId="10" fontId="18" fillId="0" borderId="137" xfId="1" applyNumberFormat="1" applyFont="1" applyBorder="1" applyAlignment="1">
      <alignment horizontal="center" vertical="center" wrapText="1"/>
    </xf>
    <xf numFmtId="10" fontId="18" fillId="0" borderId="41" xfId="1" applyNumberFormat="1" applyFont="1" applyBorder="1" applyAlignment="1">
      <alignment horizontal="center" vertical="center" wrapText="1"/>
    </xf>
    <xf numFmtId="10" fontId="23" fillId="60" borderId="36" xfId="1" applyNumberFormat="1" applyFont="1" applyFill="1" applyBorder="1" applyAlignment="1">
      <alignment horizontal="center" vertical="center"/>
    </xf>
    <xf numFmtId="10" fontId="23" fillId="60" borderId="37" xfId="1" applyNumberFormat="1" applyFont="1" applyFill="1" applyBorder="1" applyAlignment="1">
      <alignment horizontal="center" vertical="center"/>
    </xf>
    <xf numFmtId="10" fontId="23" fillId="60" borderId="40" xfId="1" applyNumberFormat="1" applyFont="1" applyFill="1" applyBorder="1" applyAlignment="1">
      <alignment horizontal="center" vertical="center"/>
    </xf>
    <xf numFmtId="10" fontId="23" fillId="60" borderId="41" xfId="1" applyNumberFormat="1" applyFont="1" applyFill="1" applyBorder="1" applyAlignment="1">
      <alignment horizontal="center" vertical="center"/>
    </xf>
    <xf numFmtId="10" fontId="23" fillId="68" borderId="36" xfId="1" applyNumberFormat="1" applyFont="1" applyFill="1" applyBorder="1" applyAlignment="1">
      <alignment horizontal="center" vertical="center"/>
    </xf>
    <xf numFmtId="10" fontId="23" fillId="68" borderId="37" xfId="1" applyNumberFormat="1" applyFont="1" applyFill="1" applyBorder="1" applyAlignment="1">
      <alignment horizontal="center" vertical="center"/>
    </xf>
    <xf numFmtId="10" fontId="23" fillId="68" borderId="40" xfId="1" applyNumberFormat="1" applyFont="1" applyFill="1" applyBorder="1" applyAlignment="1">
      <alignment horizontal="center" vertical="center"/>
    </xf>
    <xf numFmtId="10" fontId="23" fillId="68" borderId="41" xfId="1" applyNumberFormat="1" applyFont="1" applyFill="1" applyBorder="1" applyAlignment="1">
      <alignment horizontal="center" vertical="center"/>
    </xf>
    <xf numFmtId="10" fontId="18" fillId="0" borderId="76" xfId="1" applyNumberFormat="1" applyFont="1" applyBorder="1" applyAlignment="1">
      <alignment horizontal="center" vertical="center" wrapText="1"/>
    </xf>
    <xf numFmtId="10" fontId="88" fillId="60" borderId="43" xfId="0" applyNumberFormat="1" applyFont="1" applyFill="1" applyBorder="1" applyAlignment="1">
      <alignment horizontal="center" vertical="center"/>
    </xf>
    <xf numFmtId="10" fontId="88" fillId="60" borderId="76" xfId="0" applyNumberFormat="1" applyFont="1" applyFill="1" applyBorder="1" applyAlignment="1">
      <alignment horizontal="center" vertical="center"/>
    </xf>
    <xf numFmtId="10" fontId="88" fillId="60" borderId="44" xfId="0" applyNumberFormat="1" applyFont="1" applyFill="1" applyBorder="1" applyAlignment="1">
      <alignment horizontal="center" vertical="center"/>
    </xf>
    <xf numFmtId="0" fontId="28" fillId="0" borderId="121" xfId="0" applyFont="1" applyBorder="1" applyAlignment="1">
      <alignment horizontal="justify" vertical="center" wrapText="1"/>
    </xf>
    <xf numFmtId="0" fontId="28" fillId="0" borderId="80" xfId="0" applyFont="1" applyBorder="1" applyAlignment="1">
      <alignment horizontal="justify" vertical="center" wrapText="1"/>
    </xf>
    <xf numFmtId="0" fontId="28" fillId="28" borderId="12" xfId="0" applyFont="1" applyFill="1" applyBorder="1" applyAlignment="1">
      <alignment horizontal="justify" vertical="center" wrapText="1"/>
    </xf>
    <xf numFmtId="0" fontId="28" fillId="28" borderId="35" xfId="0" applyFont="1" applyFill="1" applyBorder="1" applyAlignment="1">
      <alignment horizontal="justify" vertical="center" wrapText="1"/>
    </xf>
    <xf numFmtId="0" fontId="28" fillId="0" borderId="122" xfId="0" applyFont="1" applyBorder="1" applyAlignment="1">
      <alignment horizontal="justify" vertical="center" wrapText="1"/>
    </xf>
    <xf numFmtId="0" fontId="28" fillId="0" borderId="123" xfId="0" applyFont="1" applyBorder="1" applyAlignment="1">
      <alignment horizontal="justify" vertical="center" wrapText="1"/>
    </xf>
    <xf numFmtId="0" fontId="18" fillId="18" borderId="36" xfId="0" applyFont="1" applyFill="1" applyBorder="1" applyAlignment="1">
      <alignment horizontal="center" vertical="center" wrapText="1"/>
    </xf>
    <xf numFmtId="0" fontId="18" fillId="18" borderId="37" xfId="0" applyFont="1" applyFill="1" applyBorder="1" applyAlignment="1">
      <alignment horizontal="center" vertical="center" wrapText="1"/>
    </xf>
    <xf numFmtId="0" fontId="18" fillId="18" borderId="38" xfId="0" applyFont="1" applyFill="1" applyBorder="1" applyAlignment="1">
      <alignment horizontal="center" vertical="center" wrapText="1"/>
    </xf>
    <xf numFmtId="0" fontId="18" fillId="18" borderId="39" xfId="0" applyFont="1" applyFill="1" applyBorder="1" applyAlignment="1">
      <alignment horizontal="center" vertical="center" wrapText="1"/>
    </xf>
    <xf numFmtId="0" fontId="18" fillId="18" borderId="40" xfId="0" applyFont="1" applyFill="1" applyBorder="1" applyAlignment="1">
      <alignment horizontal="center" vertical="center" wrapText="1"/>
    </xf>
    <xf numFmtId="0" fontId="18" fillId="18" borderId="41" xfId="0" applyFont="1" applyFill="1" applyBorder="1" applyAlignment="1">
      <alignment horizontal="center" vertical="center" wrapText="1"/>
    </xf>
    <xf numFmtId="10" fontId="55" fillId="0" borderId="43" xfId="0" applyNumberFormat="1" applyFont="1" applyBorder="1" applyAlignment="1">
      <alignment horizontal="center" vertical="center" wrapText="1"/>
    </xf>
    <xf numFmtId="10" fontId="55" fillId="0" borderId="44" xfId="0" applyNumberFormat="1" applyFont="1" applyBorder="1" applyAlignment="1">
      <alignment horizontal="center" vertical="center" wrapText="1"/>
    </xf>
    <xf numFmtId="0" fontId="55" fillId="0" borderId="43" xfId="0" applyFont="1" applyBorder="1" applyAlignment="1">
      <alignment horizontal="center" vertical="center" wrapText="1"/>
    </xf>
    <xf numFmtId="0" fontId="55" fillId="0" borderId="44" xfId="0" applyFont="1" applyBorder="1" applyAlignment="1">
      <alignment horizontal="center" vertical="center" wrapText="1"/>
    </xf>
    <xf numFmtId="0" fontId="28" fillId="0" borderId="12" xfId="0" applyFont="1" applyBorder="1" applyAlignment="1">
      <alignment horizontal="justify" vertical="center" wrapText="1"/>
    </xf>
    <xf numFmtId="0" fontId="28" fillId="0" borderId="35" xfId="0" applyFont="1" applyBorder="1" applyAlignment="1">
      <alignment horizontal="justify" vertical="center" wrapText="1"/>
    </xf>
    <xf numFmtId="10" fontId="23" fillId="60" borderId="43" xfId="1" applyNumberFormat="1" applyFont="1" applyFill="1" applyBorder="1" applyAlignment="1">
      <alignment horizontal="center" vertical="center"/>
    </xf>
    <xf numFmtId="10" fontId="23" fillId="60" borderId="44" xfId="1" applyNumberFormat="1" applyFont="1" applyFill="1" applyBorder="1" applyAlignment="1">
      <alignment horizontal="center" vertical="center"/>
    </xf>
    <xf numFmtId="10" fontId="123" fillId="25" borderId="43" xfId="0" applyNumberFormat="1" applyFont="1" applyFill="1" applyBorder="1" applyAlignment="1">
      <alignment horizontal="center" vertical="center" wrapText="1"/>
    </xf>
    <xf numFmtId="10" fontId="123" fillId="25" borderId="76" xfId="0" applyNumberFormat="1" applyFont="1" applyFill="1" applyBorder="1" applyAlignment="1">
      <alignment horizontal="center" vertical="center" wrapText="1"/>
    </xf>
    <xf numFmtId="10" fontId="123" fillId="25" borderId="44" xfId="0" applyNumberFormat="1" applyFont="1" applyFill="1" applyBorder="1" applyAlignment="1">
      <alignment horizontal="center" vertical="center" wrapText="1"/>
    </xf>
    <xf numFmtId="165" fontId="122" fillId="25" borderId="43" xfId="0" applyNumberFormat="1" applyFont="1" applyFill="1" applyBorder="1" applyAlignment="1">
      <alignment horizontal="center" vertical="center" wrapText="1"/>
    </xf>
    <xf numFmtId="165" fontId="122" fillId="25" borderId="76" xfId="0" applyNumberFormat="1" applyFont="1" applyFill="1" applyBorder="1" applyAlignment="1">
      <alignment horizontal="center" vertical="center" wrapText="1"/>
    </xf>
    <xf numFmtId="165" fontId="122" fillId="25" borderId="44" xfId="0" applyNumberFormat="1" applyFont="1" applyFill="1" applyBorder="1" applyAlignment="1">
      <alignment horizontal="center" vertical="center" wrapText="1"/>
    </xf>
    <xf numFmtId="165" fontId="23" fillId="60" borderId="43" xfId="1" applyNumberFormat="1" applyFont="1" applyFill="1" applyBorder="1" applyAlignment="1">
      <alignment horizontal="center" vertical="center"/>
    </xf>
    <xf numFmtId="165" fontId="23" fillId="60" borderId="44" xfId="1" applyNumberFormat="1" applyFont="1" applyFill="1" applyBorder="1" applyAlignment="1">
      <alignment horizontal="center" vertical="center"/>
    </xf>
    <xf numFmtId="0" fontId="25" fillId="18" borderId="27" xfId="0" applyFont="1" applyFill="1" applyBorder="1" applyAlignment="1">
      <alignment horizontal="center" vertical="center" wrapText="1"/>
    </xf>
    <xf numFmtId="0" fontId="25" fillId="18" borderId="71" xfId="0" applyFont="1" applyFill="1" applyBorder="1" applyAlignment="1">
      <alignment horizontal="center" vertical="center" wrapText="1"/>
    </xf>
    <xf numFmtId="0" fontId="25" fillId="18" borderId="28" xfId="0" applyFont="1" applyFill="1" applyBorder="1" applyAlignment="1">
      <alignment horizontal="center" vertical="center" wrapText="1"/>
    </xf>
    <xf numFmtId="0" fontId="18" fillId="0" borderId="43" xfId="0" applyFont="1" applyBorder="1" applyAlignment="1">
      <alignment horizontal="left" vertical="center" wrapText="1"/>
    </xf>
    <xf numFmtId="0" fontId="18" fillId="0" borderId="44" xfId="0" applyFont="1" applyBorder="1" applyAlignment="1">
      <alignment horizontal="left" vertical="center" wrapText="1"/>
    </xf>
    <xf numFmtId="165" fontId="121" fillId="28" borderId="43" xfId="1" applyNumberFormat="1" applyFont="1" applyFill="1" applyBorder="1" applyAlignment="1">
      <alignment horizontal="center" vertical="center"/>
    </xf>
    <xf numFmtId="165" fontId="121" fillId="28" borderId="44" xfId="1" applyNumberFormat="1" applyFont="1" applyFill="1" applyBorder="1" applyAlignment="1">
      <alignment horizontal="center" vertical="center"/>
    </xf>
    <xf numFmtId="0" fontId="18" fillId="59" borderId="27" xfId="0" applyFont="1" applyFill="1" applyBorder="1" applyAlignment="1">
      <alignment horizontal="center" vertical="center" wrapText="1"/>
    </xf>
    <xf numFmtId="0" fontId="18" fillId="59" borderId="28" xfId="0" applyFont="1" applyFill="1" applyBorder="1" applyAlignment="1">
      <alignment horizontal="center" vertical="center" wrapText="1"/>
    </xf>
    <xf numFmtId="0" fontId="122" fillId="28" borderId="36" xfId="0" applyFont="1" applyFill="1" applyBorder="1" applyAlignment="1">
      <alignment horizontal="center" vertical="center" wrapText="1"/>
    </xf>
    <xf numFmtId="0" fontId="122" fillId="28" borderId="37" xfId="0" applyFont="1" applyFill="1" applyBorder="1" applyAlignment="1">
      <alignment horizontal="center" vertical="center" wrapText="1"/>
    </xf>
    <xf numFmtId="0" fontId="122" fillId="28" borderId="40" xfId="0" applyFont="1" applyFill="1" applyBorder="1" applyAlignment="1">
      <alignment horizontal="center" vertical="center" wrapText="1"/>
    </xf>
    <xf numFmtId="0" fontId="122" fillId="28" borderId="41" xfId="0" applyFont="1" applyFill="1" applyBorder="1" applyAlignment="1">
      <alignment horizontal="center" vertical="center" wrapText="1"/>
    </xf>
    <xf numFmtId="0" fontId="18" fillId="47" borderId="48" xfId="0" applyFont="1" applyFill="1" applyBorder="1" applyAlignment="1">
      <alignment horizontal="center" vertical="center" wrapText="1"/>
    </xf>
    <xf numFmtId="0" fontId="18" fillId="47" borderId="127" xfId="0" applyFont="1" applyFill="1" applyBorder="1" applyAlignment="1">
      <alignment horizontal="center" vertical="center" wrapText="1"/>
    </xf>
    <xf numFmtId="0" fontId="18" fillId="47" borderId="120" xfId="0" applyFont="1" applyFill="1" applyBorder="1" applyAlignment="1">
      <alignment horizontal="center" vertical="center" wrapText="1"/>
    </xf>
    <xf numFmtId="0" fontId="18" fillId="47" borderId="119" xfId="0" applyFont="1" applyFill="1" applyBorder="1" applyAlignment="1">
      <alignment horizontal="center" vertical="center" wrapText="1"/>
    </xf>
    <xf numFmtId="0" fontId="18" fillId="47" borderId="128" xfId="0" applyFont="1" applyFill="1" applyBorder="1" applyAlignment="1">
      <alignment horizontal="center" vertical="center" wrapText="1"/>
    </xf>
    <xf numFmtId="0" fontId="18" fillId="47" borderId="112" xfId="0" applyFont="1" applyFill="1" applyBorder="1" applyAlignment="1">
      <alignment horizontal="center" vertical="center" wrapText="1"/>
    </xf>
    <xf numFmtId="0" fontId="18" fillId="18" borderId="24" xfId="0" applyFont="1" applyFill="1" applyBorder="1" applyAlignment="1">
      <alignment horizontal="center" vertical="center" wrapText="1"/>
    </xf>
    <xf numFmtId="0" fontId="18" fillId="49" borderId="24" xfId="0" applyFont="1" applyFill="1" applyBorder="1" applyAlignment="1">
      <alignment horizontal="center" vertical="center"/>
    </xf>
    <xf numFmtId="0" fontId="18" fillId="47" borderId="48" xfId="0" applyFont="1" applyFill="1" applyBorder="1" applyAlignment="1">
      <alignment horizontal="center" vertical="justify" wrapText="1"/>
    </xf>
    <xf numFmtId="0" fontId="18" fillId="47" borderId="127" xfId="0" applyFont="1" applyFill="1" applyBorder="1" applyAlignment="1">
      <alignment horizontal="center" vertical="justify" wrapText="1"/>
    </xf>
    <xf numFmtId="0" fontId="18" fillId="47" borderId="120" xfId="0" applyFont="1" applyFill="1" applyBorder="1" applyAlignment="1">
      <alignment horizontal="center" vertical="justify" wrapText="1"/>
    </xf>
    <xf numFmtId="0" fontId="18" fillId="47" borderId="119" xfId="0" applyFont="1" applyFill="1" applyBorder="1" applyAlignment="1">
      <alignment horizontal="center" vertical="justify" wrapText="1"/>
    </xf>
    <xf numFmtId="0" fontId="18" fillId="47" borderId="128" xfId="0" applyFont="1" applyFill="1" applyBorder="1" applyAlignment="1">
      <alignment horizontal="center" vertical="justify" wrapText="1"/>
    </xf>
    <xf numFmtId="0" fontId="18" fillId="47" borderId="112" xfId="0" applyFont="1" applyFill="1" applyBorder="1" applyAlignment="1">
      <alignment horizontal="center" vertical="justify" wrapText="1"/>
    </xf>
    <xf numFmtId="0" fontId="18" fillId="18" borderId="48" xfId="0" applyFont="1" applyFill="1" applyBorder="1" applyAlignment="1">
      <alignment horizontal="center" vertical="top" wrapText="1"/>
    </xf>
    <xf numFmtId="0" fontId="18" fillId="18" borderId="127" xfId="0" applyFont="1" applyFill="1" applyBorder="1" applyAlignment="1">
      <alignment horizontal="center" vertical="top" wrapText="1"/>
    </xf>
    <xf numFmtId="0" fontId="18" fillId="18" borderId="120" xfId="0" applyFont="1" applyFill="1" applyBorder="1" applyAlignment="1">
      <alignment horizontal="center" vertical="top" wrapText="1"/>
    </xf>
    <xf numFmtId="0" fontId="18" fillId="18" borderId="119" xfId="0" applyFont="1" applyFill="1" applyBorder="1" applyAlignment="1">
      <alignment horizontal="center" vertical="top" wrapText="1"/>
    </xf>
    <xf numFmtId="0" fontId="18" fillId="18" borderId="128" xfId="0" applyFont="1" applyFill="1" applyBorder="1" applyAlignment="1">
      <alignment horizontal="center" vertical="top" wrapText="1"/>
    </xf>
    <xf numFmtId="0" fontId="18" fillId="18" borderId="112" xfId="0" applyFont="1" applyFill="1" applyBorder="1" applyAlignment="1">
      <alignment horizontal="center" vertical="top" wrapText="1"/>
    </xf>
    <xf numFmtId="0" fontId="18" fillId="49" borderId="170" xfId="0" applyFont="1" applyFill="1" applyBorder="1" applyAlignment="1">
      <alignment horizontal="center" vertical="center"/>
    </xf>
    <xf numFmtId="0" fontId="18" fillId="49" borderId="169" xfId="0" applyFont="1" applyFill="1" applyBorder="1" applyAlignment="1">
      <alignment horizontal="center" vertical="center"/>
    </xf>
    <xf numFmtId="0" fontId="18" fillId="49" borderId="171" xfId="0" applyFont="1" applyFill="1" applyBorder="1" applyAlignment="1">
      <alignment horizontal="center" vertical="center"/>
    </xf>
    <xf numFmtId="0" fontId="18" fillId="49" borderId="173" xfId="0" applyFont="1" applyFill="1" applyBorder="1" applyAlignment="1">
      <alignment horizontal="center" vertical="center"/>
    </xf>
    <xf numFmtId="0" fontId="18" fillId="49" borderId="31" xfId="0" applyFont="1" applyFill="1" applyBorder="1" applyAlignment="1">
      <alignment horizontal="center" vertical="center"/>
    </xf>
    <xf numFmtId="0" fontId="18" fillId="49" borderId="172" xfId="0" applyFont="1" applyFill="1" applyBorder="1" applyAlignment="1">
      <alignment horizontal="center" vertical="center"/>
    </xf>
    <xf numFmtId="0" fontId="35" fillId="18" borderId="24" xfId="0" applyFont="1" applyFill="1" applyBorder="1" applyAlignment="1">
      <alignment horizontal="center" vertical="center" wrapText="1"/>
    </xf>
  </cellXfs>
  <cellStyles count="5">
    <cellStyle name="Millares" xfId="3" builtinId="3"/>
    <cellStyle name="Moneda" xfId="4" builtinId="4"/>
    <cellStyle name="Normal" xfId="0" builtinId="0"/>
    <cellStyle name="Normal 2" xfId="2" xr:uid="{00000000-0005-0000-0000-000003000000}"/>
    <cellStyle name="Porcentaje" xfId="1" builtinId="5"/>
  </cellStyles>
  <dxfs count="1">
    <dxf>
      <fill>
        <patternFill patternType="solid">
          <fgColor rgb="FFCFE2F3"/>
          <bgColor rgb="FFCFE2F3"/>
        </patternFill>
      </fill>
    </dxf>
  </dxfs>
  <tableStyles count="0" defaultTableStyle="TableStyleMedium2" defaultPivotStyle="PivotStyleLight16"/>
  <colors>
    <mruColors>
      <color rgb="FFFF7C80"/>
      <color rgb="FFFF9999"/>
      <color rgb="FF04F053"/>
      <color rgb="FFCC0066"/>
      <color rgb="FF6639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2"/>
                </a:solidFill>
                <a:latin typeface="+mn-lt"/>
                <a:ea typeface="+mn-ea"/>
                <a:cs typeface="+mn-cs"/>
              </a:defRPr>
            </a:pPr>
            <a:r>
              <a:rPr lang="es-CO" sz="2800"/>
              <a:t>LOGRO OBTENIDO  CORTE </a:t>
            </a:r>
            <a:r>
              <a:rPr lang="es-CO" sz="2800" baseline="0"/>
              <a:t> 31 DICIEMBRE </a:t>
            </a:r>
            <a:r>
              <a:rPr lang="es-CO" sz="2800"/>
              <a:t>2025 RESPECTO AL CUATRIENIO. LINEAS ESTRATEGICAS.</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'SEGUIMIENTO DEL PLAN DE DESARRO'!$K$2</c:f>
              <c:strCache>
                <c:ptCount val="1"/>
                <c:pt idx="0">
                  <c:v>AVANCE ACUMULADO  CORTE  DICIEMBRE 31 DE 2025 RESPECTO AL CUATRIENIO</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0-AB1B-4A44-8E69-583E8FE5124E}"/>
              </c:ext>
            </c:extLst>
          </c:dPt>
          <c:dPt>
            <c:idx val="1"/>
            <c:invertIfNegative val="0"/>
            <c:bubble3D val="0"/>
            <c:spPr>
              <a:solidFill>
                <a:srgbClr val="00B050"/>
              </a:solidFill>
              <a:ln>
                <a:noFill/>
              </a:ln>
              <a:effectLst/>
            </c:spPr>
            <c:extLst>
              <c:ext xmlns:c16="http://schemas.microsoft.com/office/drawing/2014/chart" uri="{C3380CC4-5D6E-409C-BE32-E72D297353CC}">
                <c16:uniqueId val="{00000001-AB1B-4A44-8E69-583E8FE5124E}"/>
              </c:ext>
            </c:extLst>
          </c:dPt>
          <c:dPt>
            <c:idx val="2"/>
            <c:invertIfNegative val="0"/>
            <c:bubble3D val="0"/>
            <c:spPr>
              <a:solidFill>
                <a:srgbClr val="00B050"/>
              </a:solidFill>
              <a:ln>
                <a:noFill/>
              </a:ln>
              <a:effectLst/>
            </c:spPr>
            <c:extLst>
              <c:ext xmlns:c16="http://schemas.microsoft.com/office/drawing/2014/chart" uri="{C3380CC4-5D6E-409C-BE32-E72D297353CC}">
                <c16:uniqueId val="{00000003-AB1B-4A44-8E69-583E8FE5124E}"/>
              </c:ext>
            </c:extLst>
          </c:dPt>
          <c:dPt>
            <c:idx val="3"/>
            <c:invertIfNegative val="0"/>
            <c:bubble3D val="0"/>
            <c:spPr>
              <a:solidFill>
                <a:srgbClr val="00B050"/>
              </a:solidFill>
              <a:ln>
                <a:noFill/>
              </a:ln>
              <a:effectLst/>
            </c:spPr>
            <c:extLst>
              <c:ext xmlns:c16="http://schemas.microsoft.com/office/drawing/2014/chart" uri="{C3380CC4-5D6E-409C-BE32-E72D297353CC}">
                <c16:uniqueId val="{00000006-AB1B-4A44-8E69-583E8FE5124E}"/>
              </c:ext>
            </c:extLst>
          </c:dPt>
          <c:dPt>
            <c:idx val="4"/>
            <c:invertIfNegative val="0"/>
            <c:bubble3D val="0"/>
            <c:spPr>
              <a:solidFill>
                <a:srgbClr val="00B050"/>
              </a:solidFill>
              <a:ln>
                <a:noFill/>
              </a:ln>
              <a:effectLst/>
            </c:spPr>
            <c:extLst>
              <c:ext xmlns:c16="http://schemas.microsoft.com/office/drawing/2014/chart" uri="{C3380CC4-5D6E-409C-BE32-E72D297353CC}">
                <c16:uniqueId val="{0000000C-AB1B-4A44-8E69-583E8FE5124E}"/>
              </c:ext>
            </c:extLst>
          </c:dPt>
          <c:dPt>
            <c:idx val="5"/>
            <c:invertIfNegative val="0"/>
            <c:bubble3D val="0"/>
            <c:spPr>
              <a:solidFill>
                <a:srgbClr val="00B050"/>
              </a:solidFill>
              <a:ln>
                <a:noFill/>
              </a:ln>
              <a:effectLst/>
            </c:spPr>
            <c:extLst>
              <c:ext xmlns:c16="http://schemas.microsoft.com/office/drawing/2014/chart" uri="{C3380CC4-5D6E-409C-BE32-E72D297353CC}">
                <c16:uniqueId val="{00000010-AB1B-4A44-8E69-583E8FE5124E}"/>
              </c:ext>
            </c:extLst>
          </c:dPt>
          <c:dPt>
            <c:idx val="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11-AB1B-4A44-8E69-583E8FE5124E}"/>
              </c:ext>
            </c:extLst>
          </c:dPt>
          <c:dLbls>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formatCode="0.00%">
                  <c:v>0.4849477038031102</c:v>
                </c:pt>
                <c:pt idx="1">
                  <c:v>0.52039961510956811</c:v>
                </c:pt>
                <c:pt idx="2">
                  <c:v>0.5127485650474547</c:v>
                </c:pt>
                <c:pt idx="3">
                  <c:v>0.48812060511247513</c:v>
                </c:pt>
                <c:pt idx="4">
                  <c:v>0.48114752787939219</c:v>
                </c:pt>
                <c:pt idx="5">
                  <c:v>0.54534437455673601</c:v>
                </c:pt>
                <c:pt idx="6">
                  <c:v>0.36192553511303516</c:v>
                </c:pt>
              </c:numCache>
            </c:numRef>
          </c:val>
          <c:extLst>
            <c:ext xmlns:c16="http://schemas.microsoft.com/office/drawing/2014/chart" uri="{C3380CC4-5D6E-409C-BE32-E72D297353CC}">
              <c16:uniqueId val="{00000000-1806-4801-B684-B4D48E14E30B}"/>
            </c:ext>
          </c:extLst>
        </c:ser>
        <c:dLbls>
          <c:showLegendKey val="0"/>
          <c:showVal val="0"/>
          <c:showCatName val="0"/>
          <c:showSerName val="0"/>
          <c:showPercent val="0"/>
          <c:showBubbleSize val="0"/>
        </c:dLbls>
        <c:gapWidth val="100"/>
        <c:overlap val="-24"/>
        <c:axId val="425495288"/>
        <c:axId val="425495680"/>
      </c:barChart>
      <c:catAx>
        <c:axId val="425495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200" b="1" i="0" u="none" strike="noStrike" kern="1200" baseline="0">
                <a:solidFill>
                  <a:schemeClr val="tx2"/>
                </a:solidFill>
                <a:latin typeface="+mn-lt"/>
                <a:ea typeface="+mn-ea"/>
                <a:cs typeface="+mn-cs"/>
              </a:defRPr>
            </a:pPr>
            <a:endParaRPr lang="es-CO"/>
          </a:p>
        </c:txPr>
        <c:crossAx val="425495680"/>
        <c:crosses val="autoZero"/>
        <c:auto val="1"/>
        <c:lblAlgn val="ctr"/>
        <c:lblOffset val="100"/>
        <c:noMultiLvlLbl val="0"/>
      </c:catAx>
      <c:valAx>
        <c:axId val="425495680"/>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2100" b="0" i="0" u="none" strike="noStrike" kern="1200" baseline="0">
                <a:solidFill>
                  <a:schemeClr val="tx2"/>
                </a:solidFill>
                <a:latin typeface="+mn-lt"/>
                <a:ea typeface="+mn-ea"/>
                <a:cs typeface="+mn-cs"/>
              </a:defRPr>
            </a:pPr>
            <a:endParaRPr lang="es-CO"/>
          </a:p>
        </c:txPr>
        <c:crossAx val="425495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CONSTRUCCIÓN DE PAZ, DERECHOS HUMANOS Y CONVIVENCIA.  PROGRAMAS</a:t>
            </a:r>
            <a:r>
              <a:rPr lang="en-US" sz="1200" b="1" i="0" u="none" strike="noStrike" kern="1200" spc="0" baseline="0">
                <a:solidFill>
                  <a:srgbClr val="000000">
                    <a:lumMod val="65000"/>
                    <a:lumOff val="35000"/>
                  </a:srgbClr>
                </a:solidFill>
                <a:latin typeface="+mn-lt"/>
                <a:ea typeface="+mn-ea"/>
                <a:cs typeface="+mn-cs"/>
              </a:rPr>
              <a:t>. </a:t>
            </a:r>
            <a:r>
              <a:rPr lang="es-CO" sz="1200" b="1" i="0" u="none" strike="noStrike" kern="1200" spc="0" baseline="0">
                <a:solidFill>
                  <a:srgbClr val="000000">
                    <a:lumMod val="65000"/>
                    <a:lumOff val="35000"/>
                  </a:srgbClr>
                </a:solidFill>
                <a:latin typeface="+mn-lt"/>
                <a:ea typeface="+mn-ea"/>
                <a:cs typeface="+mn-cs"/>
              </a:rPr>
              <a:t> 31 DE DICIEMBRE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HUMANA'!$E$47</c:f>
              <c:strCache>
                <c:ptCount val="1"/>
                <c:pt idx="0">
                  <c:v>AVANCE CUATRIENIO COMPONENTE IMPULSOR CONSTRUCCIÓN DE PAZ, DERECHOS HUMANOS Y CONVIVENCIA. CORTE  31 DE DICIEMBRE DE 2025</c:v>
                </c:pt>
              </c:strCache>
            </c:strRef>
          </c:tx>
          <c:spPr>
            <a:solidFill>
              <a:schemeClr val="accent6">
                <a:lumMod val="60000"/>
                <a:lumOff val="40000"/>
              </a:schemeClr>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9277-4A5F-822C-32DA1E4F09A0}"/>
              </c:ext>
            </c:extLst>
          </c:dPt>
          <c:dPt>
            <c:idx val="1"/>
            <c:invertIfNegative val="0"/>
            <c:bubble3D val="0"/>
            <c:spPr>
              <a:solidFill>
                <a:srgbClr val="00B050"/>
              </a:solidFill>
              <a:ln>
                <a:noFill/>
              </a:ln>
              <a:effectLst/>
            </c:spPr>
            <c:extLst>
              <c:ext xmlns:c16="http://schemas.microsoft.com/office/drawing/2014/chart" uri="{C3380CC4-5D6E-409C-BE32-E72D297353CC}">
                <c16:uniqueId val="{00000003-E7DC-472A-AFBC-CCA92A1F9F7F}"/>
              </c:ext>
            </c:extLst>
          </c:dPt>
          <c:dPt>
            <c:idx val="2"/>
            <c:invertIfNegative val="0"/>
            <c:bubble3D val="0"/>
            <c:spPr>
              <a:solidFill>
                <a:srgbClr val="00B050"/>
              </a:solidFill>
              <a:ln>
                <a:noFill/>
              </a:ln>
              <a:effectLst/>
            </c:spPr>
            <c:extLst>
              <c:ext xmlns:c16="http://schemas.microsoft.com/office/drawing/2014/chart" uri="{C3380CC4-5D6E-409C-BE32-E72D297353CC}">
                <c16:uniqueId val="{00000010-5D1D-4D74-A5E2-FFE8A77CF9EF}"/>
              </c:ext>
            </c:extLst>
          </c:dPt>
          <c:dPt>
            <c:idx val="3"/>
            <c:invertIfNegative val="0"/>
            <c:bubble3D val="0"/>
            <c:spPr>
              <a:solidFill>
                <a:srgbClr val="00B050"/>
              </a:solidFill>
              <a:ln>
                <a:noFill/>
              </a:ln>
              <a:effectLst/>
            </c:spPr>
            <c:extLst>
              <c:ext xmlns:c16="http://schemas.microsoft.com/office/drawing/2014/chart" uri="{C3380CC4-5D6E-409C-BE32-E72D297353CC}">
                <c16:uniqueId val="{0000000F-7834-431A-9D22-4DF8F1E02A6A}"/>
              </c:ext>
            </c:extLst>
          </c:dPt>
          <c:dPt>
            <c:idx val="4"/>
            <c:invertIfNegative val="0"/>
            <c:bubble3D val="0"/>
            <c:spPr>
              <a:solidFill>
                <a:srgbClr val="00B050"/>
              </a:solidFill>
              <a:ln>
                <a:noFill/>
              </a:ln>
              <a:effectLst/>
            </c:spPr>
            <c:extLst>
              <c:ext xmlns:c16="http://schemas.microsoft.com/office/drawing/2014/chart" uri="{C3380CC4-5D6E-409C-BE32-E72D297353CC}">
                <c16:uniqueId val="{00000004-E7DC-472A-AFBC-CCA92A1F9F7F}"/>
              </c:ext>
            </c:extLst>
          </c:dPt>
          <c:dPt>
            <c:idx val="5"/>
            <c:invertIfNegative val="0"/>
            <c:bubble3D val="0"/>
            <c:spPr>
              <a:solidFill>
                <a:srgbClr val="00B050"/>
              </a:solidFill>
              <a:ln>
                <a:noFill/>
              </a:ln>
              <a:effectLst/>
            </c:spPr>
            <c:extLst>
              <c:ext xmlns:c16="http://schemas.microsoft.com/office/drawing/2014/chart" uri="{C3380CC4-5D6E-409C-BE32-E72D297353CC}">
                <c16:uniqueId val="{00000007-E7DC-472A-AFBC-CCA92A1F9F7F}"/>
              </c:ext>
            </c:extLst>
          </c:dPt>
          <c:dPt>
            <c:idx val="6"/>
            <c:invertIfNegative val="0"/>
            <c:bubble3D val="0"/>
            <c:spPr>
              <a:solidFill>
                <a:srgbClr val="FFFF00"/>
              </a:solidFill>
              <a:ln>
                <a:noFill/>
              </a:ln>
              <a:effectLst/>
            </c:spPr>
            <c:extLst>
              <c:ext xmlns:c16="http://schemas.microsoft.com/office/drawing/2014/chart" uri="{C3380CC4-5D6E-409C-BE32-E72D297353CC}">
                <c16:uniqueId val="{00000008-E7DC-472A-AFBC-CCA92A1F9F7F}"/>
              </c:ext>
            </c:extLst>
          </c:dPt>
          <c:dPt>
            <c:idx val="7"/>
            <c:invertIfNegative val="0"/>
            <c:bubble3D val="0"/>
            <c:spPr>
              <a:solidFill>
                <a:srgbClr val="00B050"/>
              </a:solidFill>
              <a:ln>
                <a:noFill/>
              </a:ln>
              <a:effectLst/>
            </c:spPr>
            <c:extLst>
              <c:ext xmlns:c16="http://schemas.microsoft.com/office/drawing/2014/chart" uri="{C3380CC4-5D6E-409C-BE32-E72D297353CC}">
                <c16:uniqueId val="{0000000A-F86C-460B-8801-1D5F8B7F4B90}"/>
              </c:ext>
            </c:extLst>
          </c:dPt>
          <c:dPt>
            <c:idx val="8"/>
            <c:invertIfNegative val="0"/>
            <c:bubble3D val="0"/>
            <c:spPr>
              <a:solidFill>
                <a:srgbClr val="FFFF00"/>
              </a:solidFill>
              <a:ln>
                <a:noFill/>
              </a:ln>
              <a:effectLst/>
            </c:spPr>
            <c:extLst>
              <c:ext xmlns:c16="http://schemas.microsoft.com/office/drawing/2014/chart" uri="{C3380CC4-5D6E-409C-BE32-E72D297353CC}">
                <c16:uniqueId val="{0000000D-12F6-441F-BF3A-BFF84524F3CC}"/>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HUMANA'!$E$48:$E$56</c:f>
              <c:numCache>
                <c:formatCode>0.0%</c:formatCode>
                <c:ptCount val="9"/>
                <c:pt idx="0">
                  <c:v>0.51564037674127183</c:v>
                </c:pt>
                <c:pt idx="1">
                  <c:v>0.84073333333333322</c:v>
                </c:pt>
                <c:pt idx="2">
                  <c:v>0.54749999999999999</c:v>
                </c:pt>
                <c:pt idx="3">
                  <c:v>0.625</c:v>
                </c:pt>
                <c:pt idx="4">
                  <c:v>0.47022380952380949</c:v>
                </c:pt>
                <c:pt idx="5">
                  <c:v>0.50180000000000002</c:v>
                </c:pt>
                <c:pt idx="6">
                  <c:v>0.28501315789473686</c:v>
                </c:pt>
                <c:pt idx="7">
                  <c:v>0.52151937984496133</c:v>
                </c:pt>
                <c:pt idx="8">
                  <c:v>0.33333333333333331</c:v>
                </c:pt>
              </c:numCache>
            </c:numRef>
          </c:val>
          <c:extLst>
            <c:ext xmlns:c16="http://schemas.microsoft.com/office/drawing/2014/chart" uri="{C3380CC4-5D6E-409C-BE32-E72D297353CC}">
              <c16:uniqueId val="{00000000-9277-4A5F-822C-32DA1E4F09A0}"/>
            </c:ext>
          </c:extLst>
        </c:ser>
        <c:dLbls>
          <c:showLegendKey val="0"/>
          <c:showVal val="0"/>
          <c:showCatName val="0"/>
          <c:showSerName val="0"/>
          <c:showPercent val="0"/>
          <c:showBubbleSize val="0"/>
        </c:dLbls>
        <c:gapWidth val="219"/>
        <c:overlap val="-27"/>
        <c:axId val="428037472"/>
        <c:axId val="428040608"/>
      </c:barChart>
      <c:catAx>
        <c:axId val="42803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8040608"/>
        <c:crosses val="autoZero"/>
        <c:auto val="1"/>
        <c:lblAlgn val="ctr"/>
        <c:lblOffset val="100"/>
        <c:noMultiLvlLbl val="0"/>
      </c:catAx>
      <c:valAx>
        <c:axId val="428040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7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SALUD PÚBLICA Y ASEGURAMIENTO.  </a:t>
            </a:r>
            <a:r>
              <a:rPr lang="en-US" sz="1200" b="1" i="0" u="none" strike="noStrike" kern="1200" spc="0" baseline="0">
                <a:solidFill>
                  <a:srgbClr val="000000">
                    <a:lumMod val="65000"/>
                    <a:lumOff val="35000"/>
                  </a:srgbClr>
                </a:solidFill>
                <a:latin typeface="+mn-lt"/>
                <a:ea typeface="+mn-ea"/>
                <a:cs typeface="+mn-cs"/>
              </a:rPr>
              <a:t>PROGRAMAS. </a:t>
            </a:r>
            <a:r>
              <a:rPr lang="es-CO" sz="1200" b="1" i="0" u="none" strike="noStrike" kern="1200" spc="0" baseline="0">
                <a:solidFill>
                  <a:srgbClr val="000000">
                    <a:lumMod val="65000"/>
                    <a:lumOff val="35000"/>
                  </a:srgbClr>
                </a:solidFill>
                <a:latin typeface="+mn-lt"/>
                <a:ea typeface="+mn-ea"/>
                <a:cs typeface="+mn-cs"/>
              </a:rPr>
              <a:t> 31 DE DICIEMBRE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HUMANA'!$E$59</c:f>
              <c:strCache>
                <c:ptCount val="1"/>
                <c:pt idx="0">
                  <c:v>AVANCE CUATRIENIO COMPONENTE IMPULSOR SALUD PÚBLICA Y ASEGURAMIENTO. CORTE  31 DE DICIEMBRE DE 2025</c:v>
                </c:pt>
              </c:strCache>
            </c:strRef>
          </c:tx>
          <c:spPr>
            <a:solidFill>
              <a:srgbClr val="FFFF00"/>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0860-4ACE-B6E6-8A57B7D36831}"/>
              </c:ext>
            </c:extLst>
          </c:dPt>
          <c:dPt>
            <c:idx val="1"/>
            <c:invertIfNegative val="0"/>
            <c:bubble3D val="0"/>
            <c:spPr>
              <a:solidFill>
                <a:srgbClr val="00B050"/>
              </a:solidFill>
              <a:ln>
                <a:noFill/>
              </a:ln>
              <a:effectLst/>
            </c:spPr>
            <c:extLst>
              <c:ext xmlns:c16="http://schemas.microsoft.com/office/drawing/2014/chart" uri="{C3380CC4-5D6E-409C-BE32-E72D297353CC}">
                <c16:uniqueId val="{00000008-CAC7-4B68-BD78-04312D546A9F}"/>
              </c:ext>
            </c:extLst>
          </c:dPt>
          <c:dPt>
            <c:idx val="2"/>
            <c:invertIfNegative val="0"/>
            <c:bubble3D val="0"/>
            <c:spPr>
              <a:solidFill>
                <a:srgbClr val="00B050"/>
              </a:solidFill>
              <a:ln>
                <a:noFill/>
              </a:ln>
              <a:effectLst/>
            </c:spPr>
            <c:extLst>
              <c:ext xmlns:c16="http://schemas.microsoft.com/office/drawing/2014/chart" uri="{C3380CC4-5D6E-409C-BE32-E72D297353CC}">
                <c16:uniqueId val="{00000003-9256-4C99-98CD-90B583FDCB4E}"/>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CAC7-4B68-BD78-04312D546A9F}"/>
              </c:ext>
            </c:extLst>
          </c:dPt>
          <c:dPt>
            <c:idx val="4"/>
            <c:invertIfNegative val="0"/>
            <c:bubble3D val="0"/>
            <c:spPr>
              <a:solidFill>
                <a:srgbClr val="00B050"/>
              </a:solidFill>
              <a:ln>
                <a:noFill/>
              </a:ln>
              <a:effectLst/>
            </c:spPr>
            <c:extLst>
              <c:ext xmlns:c16="http://schemas.microsoft.com/office/drawing/2014/chart" uri="{C3380CC4-5D6E-409C-BE32-E72D297353CC}">
                <c16:uniqueId val="{00000004-2FEC-4A0E-B80C-BD52157813CF}"/>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HUMANA'!$E$60:$E$65</c:f>
              <c:numCache>
                <c:formatCode>0.0%</c:formatCode>
                <c:ptCount val="6"/>
                <c:pt idx="0">
                  <c:v>0.43842939618684557</c:v>
                </c:pt>
                <c:pt idx="1">
                  <c:v>0.47128507167773109</c:v>
                </c:pt>
                <c:pt idx="2">
                  <c:v>0.50011666666666665</c:v>
                </c:pt>
                <c:pt idx="3">
                  <c:v>0.36637931034482762</c:v>
                </c:pt>
                <c:pt idx="4">
                  <c:v>0.54186593224500235</c:v>
                </c:pt>
                <c:pt idx="5">
                  <c:v>0.3125</c:v>
                </c:pt>
              </c:numCache>
            </c:numRef>
          </c:val>
          <c:extLst>
            <c:ext xmlns:c16="http://schemas.microsoft.com/office/drawing/2014/chart" uri="{C3380CC4-5D6E-409C-BE32-E72D297353CC}">
              <c16:uniqueId val="{00000000-0860-4ACE-B6E6-8A57B7D36831}"/>
            </c:ext>
          </c:extLst>
        </c:ser>
        <c:dLbls>
          <c:showLegendKey val="0"/>
          <c:showVal val="0"/>
          <c:showCatName val="0"/>
          <c:showSerName val="0"/>
          <c:showPercent val="0"/>
          <c:showBubbleSize val="0"/>
        </c:dLbls>
        <c:gapWidth val="219"/>
        <c:overlap val="-27"/>
        <c:axId val="428037864"/>
        <c:axId val="428040216"/>
      </c:barChart>
      <c:catAx>
        <c:axId val="428037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8040216"/>
        <c:crosses val="autoZero"/>
        <c:auto val="1"/>
        <c:lblAlgn val="ctr"/>
        <c:lblOffset val="100"/>
        <c:noMultiLvlLbl val="0"/>
      </c:catAx>
      <c:valAx>
        <c:axId val="428040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03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ATENCIÓN INTEGRAL A GRUPOS DE ESPECIAL PROTECCIÓN.  PROGRAMAS.</a:t>
            </a:r>
            <a:r>
              <a:rPr lang="en-US" baseline="0"/>
              <a:t> </a:t>
            </a:r>
            <a:r>
              <a:rPr lang="en-US" sz="1200" b="1" i="0" u="none" strike="noStrike" kern="1200" spc="0" baseline="0">
                <a:solidFill>
                  <a:srgbClr val="000000">
                    <a:lumMod val="65000"/>
                    <a:lumOff val="35000"/>
                  </a:srgbClr>
                </a:solidFill>
                <a:latin typeface="+mn-lt"/>
                <a:ea typeface="+mn-ea"/>
                <a:cs typeface="+mn-cs"/>
              </a:rPr>
              <a:t>CORTE</a:t>
            </a:r>
            <a:r>
              <a:rPr lang="es-CO" sz="1200" b="1" i="0" u="none" strike="noStrike" kern="1200" spc="0" baseline="0">
                <a:solidFill>
                  <a:srgbClr val="000000">
                    <a:lumMod val="65000"/>
                    <a:lumOff val="35000"/>
                  </a:srgbClr>
                </a:solidFill>
                <a:latin typeface="+mn-lt"/>
                <a:ea typeface="+mn-ea"/>
                <a:cs typeface="+mn-cs"/>
              </a:rPr>
              <a:t> 31 DE DICIEMBRE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5064907673228918E-2"/>
          <c:y val="0.12627385368527666"/>
          <c:w val="0.96361372738973361"/>
          <c:h val="0.71081731510674684"/>
        </c:manualLayout>
      </c:layout>
      <c:barChart>
        <c:barDir val="col"/>
        <c:grouping val="clustered"/>
        <c:varyColors val="0"/>
        <c:ser>
          <c:idx val="0"/>
          <c:order val="0"/>
          <c:tx>
            <c:strRef>
              <c:f>'GRAFICAS SEGURIDAD HUMANA'!$E$69</c:f>
              <c:strCache>
                <c:ptCount val="1"/>
                <c:pt idx="0">
                  <c:v>AVANCE CUATRIENIO COMPONENTE IMPULSOR ATENCIÓN INTEGRAL A GRUPOS DE ESPECIAL PROTECCIÓN.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4242-4241-9CB4-4A3AF86C8F09}"/>
              </c:ext>
            </c:extLst>
          </c:dPt>
          <c:dPt>
            <c:idx val="1"/>
            <c:invertIfNegative val="0"/>
            <c:bubble3D val="0"/>
            <c:spPr>
              <a:solidFill>
                <a:srgbClr val="00B050"/>
              </a:solidFill>
              <a:ln>
                <a:noFill/>
              </a:ln>
              <a:effectLst/>
            </c:spPr>
            <c:extLst>
              <c:ext xmlns:c16="http://schemas.microsoft.com/office/drawing/2014/chart" uri="{C3380CC4-5D6E-409C-BE32-E72D297353CC}">
                <c16:uniqueId val="{0000000A-AFC7-4A64-8FDC-435E03BF83F4}"/>
              </c:ext>
            </c:extLst>
          </c:dPt>
          <c:dPt>
            <c:idx val="2"/>
            <c:invertIfNegative val="0"/>
            <c:bubble3D val="0"/>
            <c:spPr>
              <a:solidFill>
                <a:srgbClr val="00B050"/>
              </a:solidFill>
              <a:ln>
                <a:noFill/>
              </a:ln>
              <a:effectLst/>
            </c:spPr>
            <c:extLst>
              <c:ext xmlns:c16="http://schemas.microsoft.com/office/drawing/2014/chart" uri="{C3380CC4-5D6E-409C-BE32-E72D297353CC}">
                <c16:uniqueId val="{00000002-E6E8-4DDC-A71F-3BD800F29E13}"/>
              </c:ext>
            </c:extLst>
          </c:dPt>
          <c:dPt>
            <c:idx val="3"/>
            <c:invertIfNegative val="0"/>
            <c:bubble3D val="0"/>
            <c:spPr>
              <a:solidFill>
                <a:srgbClr val="00B050"/>
              </a:solidFill>
              <a:ln>
                <a:noFill/>
              </a:ln>
              <a:effectLst/>
            </c:spPr>
            <c:extLst>
              <c:ext xmlns:c16="http://schemas.microsoft.com/office/drawing/2014/chart" uri="{C3380CC4-5D6E-409C-BE32-E72D297353CC}">
                <c16:uniqueId val="{00000003-E6E8-4DDC-A71F-3BD800F29E13}"/>
              </c:ext>
            </c:extLst>
          </c:dPt>
          <c:dPt>
            <c:idx val="4"/>
            <c:invertIfNegative val="0"/>
            <c:bubble3D val="0"/>
            <c:spPr>
              <a:solidFill>
                <a:srgbClr val="00B050"/>
              </a:solidFill>
              <a:ln>
                <a:noFill/>
              </a:ln>
              <a:effectLst/>
            </c:spPr>
            <c:extLst>
              <c:ext xmlns:c16="http://schemas.microsoft.com/office/drawing/2014/chart" uri="{C3380CC4-5D6E-409C-BE32-E72D297353CC}">
                <c16:uniqueId val="{00000005-E6E8-4DDC-A71F-3BD800F29E13}"/>
              </c:ext>
            </c:extLst>
          </c:dPt>
          <c:dPt>
            <c:idx val="5"/>
            <c:invertIfNegative val="0"/>
            <c:bubble3D val="0"/>
            <c:spPr>
              <a:solidFill>
                <a:srgbClr val="00B050"/>
              </a:solidFill>
              <a:ln>
                <a:noFill/>
              </a:ln>
              <a:effectLst/>
            </c:spPr>
            <c:extLst>
              <c:ext xmlns:c16="http://schemas.microsoft.com/office/drawing/2014/chart" uri="{C3380CC4-5D6E-409C-BE32-E72D297353CC}">
                <c16:uniqueId val="{00000006-E6E8-4DDC-A71F-3BD800F29E13}"/>
              </c:ext>
            </c:extLst>
          </c:dPt>
          <c:dPt>
            <c:idx val="6"/>
            <c:invertIfNegative val="0"/>
            <c:bubble3D val="0"/>
            <c:spPr>
              <a:solidFill>
                <a:srgbClr val="00B050"/>
              </a:solidFill>
              <a:ln>
                <a:noFill/>
              </a:ln>
              <a:effectLst/>
            </c:spPr>
            <c:extLst>
              <c:ext xmlns:c16="http://schemas.microsoft.com/office/drawing/2014/chart" uri="{C3380CC4-5D6E-409C-BE32-E72D297353CC}">
                <c16:uniqueId val="{00000012-49BE-4BC7-8149-E34DD7858BFB}"/>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HUMANA'!$E$70:$E$76</c:f>
              <c:numCache>
                <c:formatCode>0.0%</c:formatCode>
                <c:ptCount val="7"/>
                <c:pt idx="0">
                  <c:v>0.62883910107787166</c:v>
                </c:pt>
                <c:pt idx="1">
                  <c:v>0.56705472103004295</c:v>
                </c:pt>
                <c:pt idx="2">
                  <c:v>0.51926419466975671</c:v>
                </c:pt>
                <c:pt idx="3">
                  <c:v>0.46958333333333335</c:v>
                </c:pt>
                <c:pt idx="4">
                  <c:v>0.55000000000000004</c:v>
                </c:pt>
                <c:pt idx="5">
                  <c:v>0.61533235743409687</c:v>
                </c:pt>
                <c:pt idx="6">
                  <c:v>0.61180000000000001</c:v>
                </c:pt>
              </c:numCache>
            </c:numRef>
          </c:val>
          <c:extLst>
            <c:ext xmlns:c16="http://schemas.microsoft.com/office/drawing/2014/chart" uri="{C3380CC4-5D6E-409C-BE32-E72D297353CC}">
              <c16:uniqueId val="{00000000-4242-4241-9CB4-4A3AF86C8F09}"/>
            </c:ext>
          </c:extLst>
        </c:ser>
        <c:dLbls>
          <c:showLegendKey val="0"/>
          <c:showVal val="0"/>
          <c:showCatName val="0"/>
          <c:showSerName val="0"/>
          <c:showPercent val="0"/>
          <c:showBubbleSize val="0"/>
        </c:dLbls>
        <c:gapWidth val="219"/>
        <c:overlap val="-27"/>
        <c:axId val="428041392"/>
        <c:axId val="428041784"/>
      </c:barChart>
      <c:catAx>
        <c:axId val="42804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28041784"/>
        <c:crosses val="autoZero"/>
        <c:auto val="1"/>
        <c:lblAlgn val="ctr"/>
        <c:lblOffset val="100"/>
        <c:noMultiLvlLbl val="0"/>
      </c:catAx>
      <c:valAx>
        <c:axId val="4280417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4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r>
              <a:rPr lang="en-US"/>
              <a:t>AVANCE CUATRIENIO COMPONENTE IMPULSOR  SUPERACIÓN DE LA POBREZA EXTREMA Y SOBERANIA ALIMENTARIA. PROGRAMAS</a:t>
            </a:r>
            <a:r>
              <a:rPr lang="en-US" sz="1200" b="1" i="0" u="none" strike="noStrike" kern="1200" spc="0" baseline="0">
                <a:solidFill>
                  <a:srgbClr val="000000">
                    <a:lumMod val="65000"/>
                    <a:lumOff val="35000"/>
                  </a:srgbClr>
                </a:solidFill>
                <a:latin typeface="+mn-lt"/>
                <a:ea typeface="+mn-ea"/>
                <a:cs typeface="+mn-cs"/>
              </a:rPr>
              <a:t>. CORTE </a:t>
            </a:r>
            <a:r>
              <a:rPr lang="es-CO" sz="1200" b="1" i="0" u="none" strike="noStrike" kern="1200" spc="0" baseline="0">
                <a:solidFill>
                  <a:srgbClr val="000000">
                    <a:lumMod val="65000"/>
                    <a:lumOff val="35000"/>
                  </a:srgbClr>
                </a:solidFill>
                <a:latin typeface="+mn-lt"/>
                <a:ea typeface="+mn-ea"/>
                <a:cs typeface="+mn-cs"/>
              </a:rPr>
              <a:t> 31 DE DICIEMBRE 2025</a:t>
            </a:r>
          </a:p>
          <a:p>
            <a:pPr marL="0" marR="0" indent="0" algn="ctr" defTabSz="914400" rtl="0" eaLnBrk="1" fontAlgn="auto" latinLnBrk="0" hangingPunct="1">
              <a:lnSpc>
                <a:spcPct val="100000"/>
              </a:lnSpc>
              <a:spcBef>
                <a:spcPts val="0"/>
              </a:spcBef>
              <a:spcAft>
                <a:spcPts val="0"/>
              </a:spcAft>
              <a:buClrTx/>
              <a:buSzTx/>
              <a:buFontTx/>
              <a:buNone/>
              <a:tabLst/>
              <a:defRPr sz="1200" b="1">
                <a:solidFill>
                  <a:srgbClr val="000000">
                    <a:lumMod val="65000"/>
                    <a:lumOff val="35000"/>
                  </a:srgbClr>
                </a:solidFill>
              </a:defRPr>
            </a:pPr>
            <a:endParaRPr lang="en-US" sz="12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HUMANA'!$E$81</c:f>
              <c:strCache>
                <c:ptCount val="1"/>
                <c:pt idx="0">
                  <c:v>AVANCE CUATRIENIO COMPONENTE IMPULSOR  SUPERACIÓN DE LA POBREZA EXTREMA Y SOBERANIA ALIMENTARIA.  CORTE  31 DE DICIEMBRE DE 2025</c:v>
                </c:pt>
              </c:strCache>
            </c:strRef>
          </c:tx>
          <c:spPr>
            <a:solidFill>
              <a:srgbClr val="92D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8EAA-4F49-AEDC-207F114B66FE}"/>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2-012E-4108-B7CB-22BEB9982FAA}"/>
              </c:ext>
            </c:extLst>
          </c:dPt>
          <c:dPt>
            <c:idx val="2"/>
            <c:invertIfNegative val="0"/>
            <c:bubble3D val="0"/>
            <c:spPr>
              <a:solidFill>
                <a:srgbClr val="00B050"/>
              </a:solidFill>
              <a:ln>
                <a:noFill/>
              </a:ln>
              <a:effectLst/>
            </c:spPr>
            <c:extLst>
              <c:ext xmlns:c16="http://schemas.microsoft.com/office/drawing/2014/chart" uri="{C3380CC4-5D6E-409C-BE32-E72D297353CC}">
                <c16:uniqueId val="{00000014-06D9-452A-85EB-144BE27212A7}"/>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012E-4108-B7CB-22BEB9982FAA}"/>
              </c:ext>
            </c:extLst>
          </c:dPt>
          <c:dPt>
            <c:idx val="4"/>
            <c:invertIfNegative val="0"/>
            <c:bubble3D val="0"/>
            <c:spPr>
              <a:solidFill>
                <a:srgbClr val="FF0000"/>
              </a:solidFill>
              <a:ln>
                <a:noFill/>
              </a:ln>
              <a:effectLst/>
            </c:spPr>
            <c:extLst>
              <c:ext xmlns:c16="http://schemas.microsoft.com/office/drawing/2014/chart" uri="{C3380CC4-5D6E-409C-BE32-E72D297353CC}">
                <c16:uniqueId val="{00000014-C081-449F-8018-E0AAD8A03517}"/>
              </c:ext>
            </c:extLst>
          </c:dPt>
          <c:dPt>
            <c:idx val="5"/>
            <c:invertIfNegative val="0"/>
            <c:bubble3D val="0"/>
            <c:spPr>
              <a:solidFill>
                <a:srgbClr val="00B050"/>
              </a:solidFill>
              <a:ln>
                <a:noFill/>
              </a:ln>
              <a:effectLst/>
            </c:spPr>
            <c:extLst>
              <c:ext xmlns:c16="http://schemas.microsoft.com/office/drawing/2014/chart" uri="{C3380CC4-5D6E-409C-BE32-E72D297353CC}">
                <c16:uniqueId val="{00000005-012E-4108-B7CB-22BEB9982FAA}"/>
              </c:ext>
            </c:extLst>
          </c:dPt>
          <c:dPt>
            <c:idx val="6"/>
            <c:invertIfNegative val="0"/>
            <c:bubble3D val="0"/>
            <c:spPr>
              <a:solidFill>
                <a:srgbClr val="FF0000"/>
              </a:solidFill>
              <a:ln>
                <a:noFill/>
              </a:ln>
              <a:effectLst/>
            </c:spPr>
            <c:extLst>
              <c:ext xmlns:c16="http://schemas.microsoft.com/office/drawing/2014/chart" uri="{C3380CC4-5D6E-409C-BE32-E72D297353CC}">
                <c16:uniqueId val="{00000008-012E-4108-B7CB-22BEB9982FAA}"/>
              </c:ext>
            </c:extLst>
          </c:dPt>
          <c:dPt>
            <c:idx val="7"/>
            <c:invertIfNegative val="0"/>
            <c:bubble3D val="0"/>
            <c:spPr>
              <a:solidFill>
                <a:srgbClr val="00B050"/>
              </a:solidFill>
              <a:ln>
                <a:noFill/>
              </a:ln>
              <a:effectLst/>
            </c:spPr>
            <c:extLst>
              <c:ext xmlns:c16="http://schemas.microsoft.com/office/drawing/2014/chart" uri="{C3380CC4-5D6E-409C-BE32-E72D297353CC}">
                <c16:uniqueId val="{00000003-012E-4108-B7CB-22BEB9982FAA}"/>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15-06D9-452A-85EB-144BE27212A7}"/>
              </c:ext>
            </c:extLst>
          </c:dPt>
          <c:dPt>
            <c:idx val="9"/>
            <c:invertIfNegative val="0"/>
            <c:bubble3D val="0"/>
            <c:spPr>
              <a:solidFill>
                <a:srgbClr val="00B050"/>
              </a:solidFill>
              <a:ln>
                <a:noFill/>
              </a:ln>
              <a:effectLst/>
            </c:spPr>
            <c:extLst>
              <c:ext xmlns:c16="http://schemas.microsoft.com/office/drawing/2014/chart" uri="{C3380CC4-5D6E-409C-BE32-E72D297353CC}">
                <c16:uniqueId val="{00000016-06D9-452A-85EB-144BE27212A7}"/>
              </c:ext>
            </c:extLst>
          </c:dPt>
          <c:dPt>
            <c:idx val="10"/>
            <c:invertIfNegative val="0"/>
            <c:bubble3D val="0"/>
            <c:spPr>
              <a:solidFill>
                <a:srgbClr val="00B050"/>
              </a:solidFill>
              <a:ln>
                <a:noFill/>
              </a:ln>
              <a:effectLst/>
            </c:spPr>
            <c:extLst>
              <c:ext xmlns:c16="http://schemas.microsoft.com/office/drawing/2014/chart" uri="{C3380CC4-5D6E-409C-BE32-E72D297353CC}">
                <c16:uniqueId val="{00000006-012E-4108-B7CB-22BEB9982FAA}"/>
              </c:ext>
            </c:extLst>
          </c:dPt>
          <c:dPt>
            <c:idx val="11"/>
            <c:invertIfNegative val="0"/>
            <c:bubble3D val="0"/>
            <c:spPr>
              <a:solidFill>
                <a:srgbClr val="00B050"/>
              </a:solidFill>
              <a:ln>
                <a:noFill/>
              </a:ln>
              <a:effectLst/>
            </c:spPr>
            <c:extLst>
              <c:ext xmlns:c16="http://schemas.microsoft.com/office/drawing/2014/chart" uri="{C3380CC4-5D6E-409C-BE32-E72D297353CC}">
                <c16:uniqueId val="{00000016-DEF0-44EB-831F-8FBC15A146F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HUMANA'!$E$82:$E$93</c:f>
              <c:numCache>
                <c:formatCode>0.0%</c:formatCode>
                <c:ptCount val="12"/>
                <c:pt idx="0">
                  <c:v>0.46829141731287866</c:v>
                </c:pt>
                <c:pt idx="1">
                  <c:v>0.34830113636363635</c:v>
                </c:pt>
                <c:pt idx="2">
                  <c:v>0.76648888888888889</c:v>
                </c:pt>
                <c:pt idx="3">
                  <c:v>0.41810057338270079</c:v>
                </c:pt>
                <c:pt idx="4">
                  <c:v>2.5000000000000001E-2</c:v>
                </c:pt>
                <c:pt idx="5">
                  <c:v>0.58277039473684211</c:v>
                </c:pt>
                <c:pt idx="6">
                  <c:v>8.5058333333333333E-2</c:v>
                </c:pt>
                <c:pt idx="7">
                  <c:v>0.58818070818070811</c:v>
                </c:pt>
                <c:pt idx="8">
                  <c:v>0.4186372549019608</c:v>
                </c:pt>
                <c:pt idx="9">
                  <c:v>0.57352941176470584</c:v>
                </c:pt>
                <c:pt idx="10">
                  <c:v>0.58472222222222225</c:v>
                </c:pt>
                <c:pt idx="11">
                  <c:v>0.76041666666666674</c:v>
                </c:pt>
              </c:numCache>
            </c:numRef>
          </c:val>
          <c:extLst>
            <c:ext xmlns:c16="http://schemas.microsoft.com/office/drawing/2014/chart" uri="{C3380CC4-5D6E-409C-BE32-E72D297353CC}">
              <c16:uniqueId val="{00000000-8EAA-4F49-AEDC-207F114B66FE}"/>
            </c:ext>
          </c:extLst>
        </c:ser>
        <c:dLbls>
          <c:showLegendKey val="0"/>
          <c:showVal val="0"/>
          <c:showCatName val="0"/>
          <c:showSerName val="0"/>
          <c:showPercent val="0"/>
          <c:showBubbleSize val="0"/>
        </c:dLbls>
        <c:gapWidth val="219"/>
        <c:overlap val="-27"/>
        <c:axId val="428042568"/>
        <c:axId val="428035120"/>
      </c:barChart>
      <c:catAx>
        <c:axId val="42804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28035120"/>
        <c:crosses val="autoZero"/>
        <c:auto val="1"/>
        <c:lblAlgn val="ctr"/>
        <c:lblOffset val="100"/>
        <c:noMultiLvlLbl val="0"/>
      </c:catAx>
      <c:valAx>
        <c:axId val="428035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42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200" b="1" i="0" baseline="0">
                <a:effectLst/>
              </a:rPr>
              <a:t>Seguridad Ciudadana y Orden Público  Avance ponderado </a:t>
            </a:r>
            <a:r>
              <a:rPr lang="es-CO" sz="1200" b="1" i="0" u="none" strike="noStrike" baseline="0">
                <a:effectLst/>
              </a:rPr>
              <a:t> </a:t>
            </a:r>
            <a:r>
              <a:rPr lang="es-CO" sz="1200" b="1" i="0" u="none" strike="noStrike" kern="1200" spc="0" baseline="0">
                <a:solidFill>
                  <a:srgbClr val="000000">
                    <a:lumMod val="65000"/>
                    <a:lumOff val="35000"/>
                  </a:srgbClr>
                </a:solidFill>
                <a:effectLst/>
                <a:latin typeface="+mn-lt"/>
                <a:ea typeface="+mn-ea"/>
                <a:cs typeface="+mn-cs"/>
              </a:rPr>
              <a:t>31 DE DICIEMBRE 2025</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200" b="1" i="0" u="none" strike="noStrike" kern="1200" spc="0" baseline="0">
              <a:solidFill>
                <a:srgbClr val="000000">
                  <a:lumMod val="65000"/>
                  <a:lumOff val="35000"/>
                </a:srgb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HUMANA'!$D$31</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HUMANA'!$D$32:$D$37</c:f>
              <c:numCache>
                <c:formatCode>0.0%</c:formatCode>
                <c:ptCount val="6"/>
                <c:pt idx="0" formatCode="0.00%">
                  <c:v>0.56618942768161484</c:v>
                </c:pt>
                <c:pt idx="1">
                  <c:v>0.39</c:v>
                </c:pt>
                <c:pt idx="2">
                  <c:v>0.64999999999999991</c:v>
                </c:pt>
                <c:pt idx="3">
                  <c:v>0.60071725893871608</c:v>
                </c:pt>
                <c:pt idx="4">
                  <c:v>0.85</c:v>
                </c:pt>
                <c:pt idx="5">
                  <c:v>0.66974250000000002</c:v>
                </c:pt>
              </c:numCache>
            </c:numRef>
          </c:val>
          <c:extLst>
            <c:ext xmlns:c16="http://schemas.microsoft.com/office/drawing/2014/chart" uri="{C3380CC4-5D6E-409C-BE32-E72D297353CC}">
              <c16:uniqueId val="{00000000-056A-4ED6-9772-735BCC710DA3}"/>
            </c:ext>
          </c:extLst>
        </c:ser>
        <c:dLbls>
          <c:showLegendKey val="0"/>
          <c:showVal val="0"/>
          <c:showCatName val="0"/>
          <c:showSerName val="0"/>
          <c:showPercent val="0"/>
          <c:showBubbleSize val="0"/>
        </c:dLbls>
        <c:gapWidth val="219"/>
        <c:overlap val="-27"/>
        <c:axId val="428228552"/>
        <c:axId val="428226984"/>
      </c:barChart>
      <c:catAx>
        <c:axId val="42822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6984"/>
        <c:crosses val="autoZero"/>
        <c:auto val="1"/>
        <c:lblAlgn val="ctr"/>
        <c:lblOffset val="100"/>
        <c:noMultiLvlLbl val="0"/>
      </c:catAx>
      <c:valAx>
        <c:axId val="4282269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8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200" b="1" i="0" baseline="0">
                <a:effectLst/>
              </a:rPr>
              <a:t>Construccion de paz, Derechos Humanos </a:t>
            </a:r>
            <a:r>
              <a:rPr lang="en-US" sz="1200" b="1" i="0" u="none" strike="noStrike" kern="1200" spc="0" baseline="0">
                <a:solidFill>
                  <a:srgbClr val="000000">
                    <a:lumMod val="65000"/>
                    <a:lumOff val="35000"/>
                  </a:srgbClr>
                </a:solidFill>
                <a:effectLst/>
                <a:latin typeface="+mn-lt"/>
                <a:ea typeface="+mn-ea"/>
                <a:cs typeface="+mn-cs"/>
              </a:rPr>
              <a:t>y Convivencia Avance Ponderado </a:t>
            </a:r>
            <a:r>
              <a:rPr lang="es-CO" sz="1200" b="1" i="0" u="none" strike="noStrike" kern="1200" spc="0" baseline="0">
                <a:solidFill>
                  <a:srgbClr val="000000">
                    <a:lumMod val="65000"/>
                    <a:lumOff val="35000"/>
                  </a:srgbClr>
                </a:solidFill>
                <a:effectLst/>
                <a:latin typeface="+mn-lt"/>
                <a:ea typeface="+mn-ea"/>
                <a:cs typeface="+mn-cs"/>
              </a:rPr>
              <a:t> 31 DE DICIEMBRE 2025</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200" b="1" i="0" u="none" strike="noStrike" kern="1200" spc="0" baseline="0">
              <a:solidFill>
                <a:srgbClr val="000000">
                  <a:lumMod val="65000"/>
                  <a:lumOff val="35000"/>
                </a:srgbClr>
              </a:solidFill>
              <a:effectLst/>
              <a:latin typeface="+mn-lt"/>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200" b="1">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HUMANA'!$D$47</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HUMANA'!$D$48:$D$56</c:f>
              <c:numCache>
                <c:formatCode>0.0%</c:formatCode>
                <c:ptCount val="9"/>
                <c:pt idx="0">
                  <c:v>0.49297341860465116</c:v>
                </c:pt>
                <c:pt idx="1">
                  <c:v>0.87988</c:v>
                </c:pt>
                <c:pt idx="2">
                  <c:v>0.57599999999999996</c:v>
                </c:pt>
                <c:pt idx="3">
                  <c:v>0.57499999999999996</c:v>
                </c:pt>
                <c:pt idx="4">
                  <c:v>0.29582333333333333</c:v>
                </c:pt>
                <c:pt idx="5">
                  <c:v>0.50180000000000002</c:v>
                </c:pt>
                <c:pt idx="6">
                  <c:v>0.26117500000000005</c:v>
                </c:pt>
                <c:pt idx="7">
                  <c:v>0.52630418604651164</c:v>
                </c:pt>
                <c:pt idx="8">
                  <c:v>0.1875</c:v>
                </c:pt>
              </c:numCache>
            </c:numRef>
          </c:val>
          <c:extLst>
            <c:ext xmlns:c16="http://schemas.microsoft.com/office/drawing/2014/chart" uri="{C3380CC4-5D6E-409C-BE32-E72D297353CC}">
              <c16:uniqueId val="{00000000-49D2-4A34-9E95-80AB36FC2CFB}"/>
            </c:ext>
          </c:extLst>
        </c:ser>
        <c:dLbls>
          <c:showLegendKey val="0"/>
          <c:showVal val="0"/>
          <c:showCatName val="0"/>
          <c:showSerName val="0"/>
          <c:showPercent val="0"/>
          <c:showBubbleSize val="0"/>
        </c:dLbls>
        <c:gapWidth val="219"/>
        <c:overlap val="-27"/>
        <c:axId val="428230904"/>
        <c:axId val="428229728"/>
      </c:barChart>
      <c:catAx>
        <c:axId val="42823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8229728"/>
        <c:crosses val="autoZero"/>
        <c:auto val="1"/>
        <c:lblAlgn val="ctr"/>
        <c:lblOffset val="100"/>
        <c:noMultiLvlLbl val="0"/>
      </c:catAx>
      <c:valAx>
        <c:axId val="428229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30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Salud Pública y Aseguramiento Avance </a:t>
            </a:r>
            <a:r>
              <a:rPr lang="en-US" sz="1400" b="1" i="0" u="none" strike="noStrike" kern="1200" spc="0" baseline="0">
                <a:solidFill>
                  <a:srgbClr val="000000">
                    <a:lumMod val="65000"/>
                    <a:lumOff val="35000"/>
                  </a:srgbClr>
                </a:solidFill>
                <a:effectLst/>
                <a:latin typeface="+mn-lt"/>
                <a:ea typeface="+mn-ea"/>
                <a:cs typeface="+mn-cs"/>
              </a:rPr>
              <a:t>ponderado </a:t>
            </a:r>
            <a:r>
              <a:rPr lang="es-CO" sz="1400" b="1" i="0" u="none" strike="noStrike" kern="1200" spc="0" baseline="0">
                <a:solidFill>
                  <a:srgbClr val="000000">
                    <a:lumMod val="65000"/>
                    <a:lumOff val="35000"/>
                  </a:srgbClr>
                </a:solidFill>
                <a:effectLst/>
                <a:latin typeface="+mn-lt"/>
                <a:ea typeface="+mn-ea"/>
                <a:cs typeface="+mn-cs"/>
              </a:rPr>
              <a:t> 31 DE DICIEMBRE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HUMANA'!$D$59</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HUMANA'!$D$60:$D$65</c:f>
              <c:numCache>
                <c:formatCode>0.0%</c:formatCode>
                <c:ptCount val="6"/>
                <c:pt idx="0">
                  <c:v>0.40754170935687423</c:v>
                </c:pt>
                <c:pt idx="1">
                  <c:v>0.34224696772547941</c:v>
                </c:pt>
                <c:pt idx="2">
                  <c:v>0.50266000000000011</c:v>
                </c:pt>
                <c:pt idx="3">
                  <c:v>9.6551724137931047E-2</c:v>
                </c:pt>
                <c:pt idx="4">
                  <c:v>0.53208524559790826</c:v>
                </c:pt>
                <c:pt idx="5">
                  <c:v>0.3</c:v>
                </c:pt>
              </c:numCache>
            </c:numRef>
          </c:val>
          <c:extLst>
            <c:ext xmlns:c16="http://schemas.microsoft.com/office/drawing/2014/chart" uri="{C3380CC4-5D6E-409C-BE32-E72D297353CC}">
              <c16:uniqueId val="{00000000-0423-4C87-AC5A-49301F7B9490}"/>
            </c:ext>
          </c:extLst>
        </c:ser>
        <c:dLbls>
          <c:showLegendKey val="0"/>
          <c:showVal val="0"/>
          <c:showCatName val="0"/>
          <c:showSerName val="0"/>
          <c:showPercent val="0"/>
          <c:showBubbleSize val="0"/>
        </c:dLbls>
        <c:gapWidth val="219"/>
        <c:overlap val="-27"/>
        <c:axId val="428227768"/>
        <c:axId val="428228160"/>
      </c:barChart>
      <c:catAx>
        <c:axId val="42822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8160"/>
        <c:crosses val="autoZero"/>
        <c:auto val="1"/>
        <c:lblAlgn val="ctr"/>
        <c:lblOffset val="100"/>
        <c:noMultiLvlLbl val="0"/>
      </c:catAx>
      <c:valAx>
        <c:axId val="428228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7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300" b="1" i="0" baseline="0">
                <a:effectLst/>
              </a:rPr>
              <a:t>Atención Integral </a:t>
            </a:r>
            <a:r>
              <a:rPr lang="en-US" sz="1300" b="1" i="0" u="none" strike="noStrike" kern="1200" spc="0" baseline="0">
                <a:solidFill>
                  <a:srgbClr val="000000">
                    <a:lumMod val="65000"/>
                    <a:lumOff val="35000"/>
                  </a:srgbClr>
                </a:solidFill>
                <a:effectLst/>
                <a:latin typeface="+mn-lt"/>
                <a:ea typeface="+mn-ea"/>
                <a:cs typeface="+mn-cs"/>
              </a:rPr>
              <a:t>a </a:t>
            </a:r>
            <a:r>
              <a:rPr lang="en-US" sz="1200" b="1" i="0" u="none" strike="noStrike" kern="1200" spc="0" baseline="0">
                <a:solidFill>
                  <a:srgbClr val="000000">
                    <a:lumMod val="65000"/>
                    <a:lumOff val="35000"/>
                  </a:srgbClr>
                </a:solidFill>
                <a:effectLst/>
                <a:latin typeface="+mn-lt"/>
                <a:ea typeface="+mn-ea"/>
                <a:cs typeface="+mn-cs"/>
              </a:rPr>
              <a:t>Grupos de Especial Protección Avance ponderado </a:t>
            </a:r>
            <a:r>
              <a:rPr lang="es-CO" sz="1200" b="1" i="0" u="none" strike="noStrike" kern="1200" spc="0" baseline="0">
                <a:solidFill>
                  <a:srgbClr val="000000">
                    <a:lumMod val="65000"/>
                    <a:lumOff val="35000"/>
                  </a:srgbClr>
                </a:solidFill>
                <a:effectLst/>
                <a:latin typeface="+mn-lt"/>
                <a:ea typeface="+mn-ea"/>
                <a:cs typeface="+mn-cs"/>
              </a:rPr>
              <a:t> 31 DE DICIEMBRE 2025</a:t>
            </a:r>
          </a:p>
        </c:rich>
      </c:tx>
      <c:layout>
        <c:manualLayout>
          <c:xMode val="edge"/>
          <c:yMode val="edge"/>
          <c:x val="0.18803343324124142"/>
          <c:y val="0"/>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HUMANA'!$D$69</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HUMANA'!$D$70:$D$76</c:f>
              <c:numCache>
                <c:formatCode>0.0%</c:formatCode>
                <c:ptCount val="7"/>
                <c:pt idx="0">
                  <c:v>0.46920061064175028</c:v>
                </c:pt>
                <c:pt idx="1">
                  <c:v>0.42271566523605159</c:v>
                </c:pt>
                <c:pt idx="2">
                  <c:v>0.53467555040556203</c:v>
                </c:pt>
                <c:pt idx="3">
                  <c:v>0.47299999999999998</c:v>
                </c:pt>
                <c:pt idx="4">
                  <c:v>0.45500000000000002</c:v>
                </c:pt>
                <c:pt idx="5">
                  <c:v>0.42064735026855027</c:v>
                </c:pt>
                <c:pt idx="6">
                  <c:v>0.48270000000000007</c:v>
                </c:pt>
              </c:numCache>
            </c:numRef>
          </c:val>
          <c:extLst>
            <c:ext xmlns:c16="http://schemas.microsoft.com/office/drawing/2014/chart" uri="{C3380CC4-5D6E-409C-BE32-E72D297353CC}">
              <c16:uniqueId val="{00000000-F9AB-4D95-BA80-8DE526F7631F}"/>
            </c:ext>
          </c:extLst>
        </c:ser>
        <c:dLbls>
          <c:showLegendKey val="0"/>
          <c:showVal val="0"/>
          <c:showCatName val="0"/>
          <c:showSerName val="0"/>
          <c:showPercent val="0"/>
          <c:showBubbleSize val="0"/>
        </c:dLbls>
        <c:gapWidth val="219"/>
        <c:overlap val="-27"/>
        <c:axId val="428224632"/>
        <c:axId val="428231296"/>
      </c:barChart>
      <c:catAx>
        <c:axId val="42822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31296"/>
        <c:crosses val="autoZero"/>
        <c:auto val="1"/>
        <c:lblAlgn val="ctr"/>
        <c:lblOffset val="100"/>
        <c:noMultiLvlLbl val="0"/>
      </c:catAx>
      <c:valAx>
        <c:axId val="428231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Superación de la </a:t>
            </a:r>
            <a:r>
              <a:rPr lang="en-US" sz="1200" b="1" i="0" baseline="0">
                <a:effectLst/>
              </a:rPr>
              <a:t>pobreza extrema y soberanía alimentaria Avance </a:t>
            </a:r>
            <a:r>
              <a:rPr lang="en-US" sz="1300" b="1" i="0" u="none" strike="noStrike" kern="1200" spc="0" baseline="0">
                <a:solidFill>
                  <a:srgbClr val="000000">
                    <a:lumMod val="65000"/>
                    <a:lumOff val="35000"/>
                  </a:srgbClr>
                </a:solidFill>
                <a:effectLst/>
                <a:latin typeface="+mn-lt"/>
                <a:ea typeface="+mn-ea"/>
                <a:cs typeface="+mn-cs"/>
              </a:rPr>
              <a:t>ponderado </a:t>
            </a:r>
            <a:r>
              <a:rPr lang="es-CO" sz="1300" b="1" i="0" u="none" strike="noStrike" kern="1200" spc="0" baseline="0">
                <a:solidFill>
                  <a:srgbClr val="000000">
                    <a:lumMod val="65000"/>
                    <a:lumOff val="35000"/>
                  </a:srgbClr>
                </a:solidFill>
                <a:effectLst/>
                <a:latin typeface="+mn-lt"/>
                <a:ea typeface="+mn-ea"/>
                <a:cs typeface="+mn-cs"/>
              </a:rPr>
              <a:t>31 DE DICIEMBRE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HUMANA'!$D$81</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HUMANA'!$D$82:$D$93</c:f>
              <c:numCache>
                <c:formatCode>0.0%</c:formatCode>
                <c:ptCount val="12"/>
                <c:pt idx="0">
                  <c:v>0.46227019141616099</c:v>
                </c:pt>
                <c:pt idx="1">
                  <c:v>0.35053068181818181</c:v>
                </c:pt>
                <c:pt idx="2">
                  <c:v>0.75401999999999991</c:v>
                </c:pt>
                <c:pt idx="3">
                  <c:v>0.4377733158490178</c:v>
                </c:pt>
                <c:pt idx="4">
                  <c:v>2.5000000000000001E-2</c:v>
                </c:pt>
                <c:pt idx="5">
                  <c:v>0.58047085526315789</c:v>
                </c:pt>
                <c:pt idx="6">
                  <c:v>2.4434999999999998E-2</c:v>
                </c:pt>
                <c:pt idx="7">
                  <c:v>0.64027106227106223</c:v>
                </c:pt>
                <c:pt idx="8">
                  <c:v>0.40015588235294119</c:v>
                </c:pt>
                <c:pt idx="9">
                  <c:v>0.59558823529411775</c:v>
                </c:pt>
                <c:pt idx="10">
                  <c:v>0.55444444444444452</c:v>
                </c:pt>
                <c:pt idx="11">
                  <c:v>0.71250000000000002</c:v>
                </c:pt>
              </c:numCache>
            </c:numRef>
          </c:val>
          <c:extLst>
            <c:ext xmlns:c16="http://schemas.microsoft.com/office/drawing/2014/chart" uri="{C3380CC4-5D6E-409C-BE32-E72D297353CC}">
              <c16:uniqueId val="{00000000-FB42-486C-8859-F2569F5CEE8B}"/>
            </c:ext>
          </c:extLst>
        </c:ser>
        <c:dLbls>
          <c:showLegendKey val="0"/>
          <c:showVal val="0"/>
          <c:showCatName val="0"/>
          <c:showSerName val="0"/>
          <c:showPercent val="0"/>
          <c:showBubbleSize val="0"/>
        </c:dLbls>
        <c:gapWidth val="219"/>
        <c:overlap val="-27"/>
        <c:axId val="428229336"/>
        <c:axId val="428231688"/>
      </c:barChart>
      <c:catAx>
        <c:axId val="42822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8231688"/>
        <c:crosses val="autoZero"/>
        <c:auto val="1"/>
        <c:lblAlgn val="ctr"/>
        <c:lblOffset val="100"/>
        <c:noMultiLvlLbl val="0"/>
      </c:catAx>
      <c:valAx>
        <c:axId val="4282316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SEGURIDAD HUMANA COMPARATIVO </a:t>
            </a:r>
            <a:r>
              <a:rPr lang="es-CO" b="1" baseline="0"/>
              <a:t> </a:t>
            </a:r>
            <a:r>
              <a:rPr lang="es-CO" b="1"/>
              <a:t>DICIEMBRE 2024 - 31 DE</a:t>
            </a:r>
            <a:r>
              <a:rPr lang="es-CO" b="1" baseline="0"/>
              <a:t> DICIEMBRE 2025</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2025</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0.62879210773800021</c:v>
                </c:pt>
                <c:pt idx="1">
                  <c:v>0.88476840343177321</c:v>
                </c:pt>
                <c:pt idx="2">
                  <c:v>0.58684348701403577</c:v>
                </c:pt>
                <c:pt idx="3">
                  <c:v>0.54395347999674115</c:v>
                </c:pt>
                <c:pt idx="4">
                  <c:v>0.6068847164726574</c:v>
                </c:pt>
                <c:pt idx="5">
                  <c:v>0.48976309154789766</c:v>
                </c:pt>
              </c:numCache>
            </c:numRef>
          </c:val>
          <c:extLst>
            <c:ext xmlns:c16="http://schemas.microsoft.com/office/drawing/2014/chart" uri="{C3380CC4-5D6E-409C-BE32-E72D297353CC}">
              <c16:uniqueId val="{00000000-1B77-4F60-BAD1-3CFCB1A32D99}"/>
            </c:ext>
          </c:extLst>
        </c:ser>
        <c:ser>
          <c:idx val="1"/>
          <c:order val="1"/>
          <c:tx>
            <c:strRef>
              <c:f>'GRAFICAS SEGURIDAD HUMANA'!$E$4</c:f>
              <c:strCache>
                <c:ptCount val="1"/>
                <c:pt idx="0">
                  <c:v>LOGRO VIGENCIA  CORTE  31 DE DICIEMBRE DE 2025 RESPECTO AL CUATRIENIO</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7AD2-4D23-AAD4-68CCD020C8A4}"/>
              </c:ext>
            </c:extLst>
          </c:dPt>
          <c:dPt>
            <c:idx val="1"/>
            <c:invertIfNegative val="0"/>
            <c:bubble3D val="0"/>
            <c:spPr>
              <a:solidFill>
                <a:srgbClr val="00B050"/>
              </a:solidFill>
              <a:ln>
                <a:noFill/>
              </a:ln>
              <a:effectLst/>
            </c:spPr>
            <c:extLst>
              <c:ext xmlns:c16="http://schemas.microsoft.com/office/drawing/2014/chart" uri="{C3380CC4-5D6E-409C-BE32-E72D297353CC}">
                <c16:uniqueId val="{0000000D-BD84-4460-A27B-914F6B693402}"/>
              </c:ext>
            </c:extLst>
          </c:dPt>
          <c:dPt>
            <c:idx val="2"/>
            <c:invertIfNegative val="0"/>
            <c:bubble3D val="0"/>
            <c:spPr>
              <a:solidFill>
                <a:srgbClr val="00B050"/>
              </a:solidFill>
              <a:ln>
                <a:noFill/>
              </a:ln>
              <a:effectLst/>
            </c:spPr>
            <c:extLst>
              <c:ext xmlns:c16="http://schemas.microsoft.com/office/drawing/2014/chart" uri="{C3380CC4-5D6E-409C-BE32-E72D297353CC}">
                <c16:uniqueId val="{00000007-7AD2-4D23-AAD4-68CCD020C8A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8801-4487-AF41-40FCA1B4ACFF}"/>
              </c:ext>
            </c:extLst>
          </c:dPt>
          <c:dPt>
            <c:idx val="4"/>
            <c:invertIfNegative val="0"/>
            <c:bubble3D val="0"/>
            <c:spPr>
              <a:solidFill>
                <a:srgbClr val="00B050"/>
              </a:solidFill>
              <a:ln>
                <a:noFill/>
              </a:ln>
              <a:effectLst/>
            </c:spPr>
            <c:extLst>
              <c:ext xmlns:c16="http://schemas.microsoft.com/office/drawing/2014/chart" uri="{C3380CC4-5D6E-409C-BE32-E72D297353CC}">
                <c16:uniqueId val="{00000008-7AD2-4D23-AAD4-68CCD020C8A4}"/>
              </c:ext>
            </c:extLst>
          </c:dPt>
          <c:dPt>
            <c:idx val="5"/>
            <c:invertIfNegative val="0"/>
            <c:bubble3D val="0"/>
            <c:spPr>
              <a:solidFill>
                <a:srgbClr val="00B050"/>
              </a:solidFill>
              <a:ln>
                <a:noFill/>
              </a:ln>
              <a:effectLst/>
            </c:spPr>
            <c:extLst>
              <c:ext xmlns:c16="http://schemas.microsoft.com/office/drawing/2014/chart" uri="{C3380CC4-5D6E-409C-BE32-E72D297353CC}">
                <c16:uniqueId val="{00000000-8801-4487-AF41-40FCA1B4ACF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0.52039961510956811</c:v>
                </c:pt>
                <c:pt idx="1">
                  <c:v>0.64063194152581171</c:v>
                </c:pt>
                <c:pt idx="2">
                  <c:v>0.51564037674127183</c:v>
                </c:pt>
                <c:pt idx="3">
                  <c:v>0.43842939618684557</c:v>
                </c:pt>
                <c:pt idx="4">
                  <c:v>0.62883910107787166</c:v>
                </c:pt>
                <c:pt idx="5">
                  <c:v>0.46829141731287866</c:v>
                </c:pt>
              </c:numCache>
            </c:numRef>
          </c:val>
          <c:extLst>
            <c:ext xmlns:c16="http://schemas.microsoft.com/office/drawing/2014/chart" uri="{C3380CC4-5D6E-409C-BE32-E72D297353CC}">
              <c16:uniqueId val="{00000001-1B77-4F60-BAD1-3CFCB1A32D99}"/>
            </c:ext>
          </c:extLst>
        </c:ser>
        <c:ser>
          <c:idx val="2"/>
          <c:order val="2"/>
          <c:tx>
            <c:strRef>
              <c:f>'GRAFICAS SEGURIDAD HUMANA'!$F$4</c:f>
              <c:strCache>
                <c:ptCount val="1"/>
                <c:pt idx="0">
                  <c:v>LOGRO VIGENCIA  CORTE DICIEMBRE  2024 RESPECTO AL CUATRIENIO</c:v>
                </c:pt>
              </c:strCache>
            </c:strRef>
          </c:tx>
          <c:spPr>
            <a:solidFill>
              <a:srgbClr val="6639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HUMANA'!$F$5:$F$10</c:f>
              <c:numCache>
                <c:formatCode>0.0%</c:formatCode>
                <c:ptCount val="6"/>
                <c:pt idx="0">
                  <c:v>0.25472941442069297</c:v>
                </c:pt>
                <c:pt idx="1">
                  <c:v>0.40033301822466277</c:v>
                </c:pt>
                <c:pt idx="2">
                  <c:v>0.25041408617424243</c:v>
                </c:pt>
                <c:pt idx="3">
                  <c:v>0.20515575037857808</c:v>
                </c:pt>
                <c:pt idx="4">
                  <c:v>0.24621230380461609</c:v>
                </c:pt>
                <c:pt idx="5">
                  <c:v>0.17153191352136538</c:v>
                </c:pt>
              </c:numCache>
            </c:numRef>
          </c:val>
          <c:extLst>
            <c:ext xmlns:c16="http://schemas.microsoft.com/office/drawing/2014/chart" uri="{C3380CC4-5D6E-409C-BE32-E72D297353CC}">
              <c16:uniqueId val="{00000002-1B77-4F60-BAD1-3CFCB1A32D99}"/>
            </c:ext>
          </c:extLst>
        </c:ser>
        <c:dLbls>
          <c:showLegendKey val="0"/>
          <c:showVal val="0"/>
          <c:showCatName val="0"/>
          <c:showSerName val="0"/>
          <c:showPercent val="0"/>
          <c:showBubbleSize val="0"/>
        </c:dLbls>
        <c:gapWidth val="219"/>
        <c:overlap val="-27"/>
        <c:axId val="428224240"/>
        <c:axId val="428225808"/>
      </c:barChart>
      <c:catAx>
        <c:axId val="42822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225808"/>
        <c:crosses val="autoZero"/>
        <c:auto val="1"/>
        <c:lblAlgn val="ctr"/>
        <c:lblOffset val="100"/>
        <c:noMultiLvlLbl val="0"/>
      </c:catAx>
      <c:valAx>
        <c:axId val="428225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28224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3200" b="1"/>
              <a:t>AVANCE</a:t>
            </a:r>
            <a:r>
              <a:rPr lang="es-CO" sz="3200" b="1" baseline="0"/>
              <a:t> ESPERADO ACUMULADO   2025  - LOGRO ALCANZADO ACUMULADO CUATRIENIO  31 DICIEMBRE 2025. LINEAS ESTRATEGICAS.</a:t>
            </a:r>
            <a:endParaRPr lang="es-CO" sz="3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052880145467711E-2"/>
          <c:y val="0.11955631399317407"/>
          <c:w val="0.97481232361628778"/>
          <c:h val="0.72866016321338678"/>
        </c:manualLayout>
      </c:layout>
      <c:bar3DChart>
        <c:barDir val="col"/>
        <c:grouping val="clustered"/>
        <c:varyColors val="0"/>
        <c:ser>
          <c:idx val="0"/>
          <c:order val="0"/>
          <c:tx>
            <c:strRef>
              <c:f>'SEGUIMIENTO DEL PLAN DE DESARRO'!$F$2</c:f>
              <c:strCache>
                <c:ptCount val="1"/>
                <c:pt idx="0">
                  <c:v>AVANCE ESPERADO ACUMULADO CUATRIENIO 2024 - 2025</c:v>
                </c:pt>
              </c:strCache>
            </c:strRef>
          </c:tx>
          <c:spPr>
            <a:solidFill>
              <a:schemeClr val="accent1"/>
            </a:solidFill>
            <a:ln>
              <a:noFill/>
            </a:ln>
            <a:effectLst/>
            <a:sp3d/>
          </c:spPr>
          <c:invertIfNegative val="0"/>
          <c:dLbls>
            <c:dLbl>
              <c:idx val="0"/>
              <c:layout>
                <c:manualLayout>
                  <c:x val="1.0449312257020485E-2"/>
                  <c:y val="-4.6729189081110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63-408B-AE44-FBB22E109B6F}"/>
                </c:ext>
              </c:extLst>
            </c:dLbl>
            <c:dLbl>
              <c:idx val="1"/>
              <c:layout>
                <c:manualLayout>
                  <c:x val="1.0908136482939633E-2"/>
                  <c:y val="-2.2688495558369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63-408B-AE44-FBB22E109B6F}"/>
                </c:ext>
              </c:extLst>
            </c:dLbl>
            <c:dLbl>
              <c:idx val="2"/>
              <c:layout>
                <c:manualLayout>
                  <c:x val="1.671891327063741E-2"/>
                  <c:y val="-1.3651877133105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63-408B-AE44-FBB22E109B6F}"/>
                </c:ext>
              </c:extLst>
            </c:dLbl>
            <c:dLbl>
              <c:idx val="3"/>
              <c:layout>
                <c:manualLayout>
                  <c:x val="1.0449320794148304E-2"/>
                  <c:y val="-1.1376564277588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63-408B-AE44-FBB22E109B6F}"/>
                </c:ext>
              </c:extLst>
            </c:dLbl>
            <c:dLbl>
              <c:idx val="4"/>
              <c:layout>
                <c:manualLayout>
                  <c:x val="1.3584117032392972E-2"/>
                  <c:y val="-1.5927189988623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663-408B-AE44-FBB22E109B6F}"/>
                </c:ext>
              </c:extLst>
            </c:dLbl>
            <c:dLbl>
              <c:idx val="5"/>
              <c:layout>
                <c:manualLayout>
                  <c:x val="1.6260099066564049E-2"/>
                  <c:y val="-3.129583257957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663-408B-AE44-FBB22E109B6F}"/>
                </c:ext>
              </c:extLst>
            </c:dLbl>
            <c:dLbl>
              <c:idx val="6"/>
              <c:layout>
                <c:manualLayout>
                  <c:x val="1.671891327063741E-2"/>
                  <c:y val="-6.8259385665529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663-408B-AE44-FBB22E109B6F}"/>
                </c:ext>
              </c:extLst>
            </c:dLbl>
            <c:spPr>
              <a:no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DESARRO'!$F$3:$F$9</c:f>
              <c:numCache>
                <c:formatCode>0.0%</c:formatCode>
                <c:ptCount val="7"/>
                <c:pt idx="0">
                  <c:v>0.49456039128851637</c:v>
                </c:pt>
                <c:pt idx="1">
                  <c:v>0.62864059258648508</c:v>
                </c:pt>
                <c:pt idx="2">
                  <c:v>0.52261573838975106</c:v>
                </c:pt>
                <c:pt idx="3">
                  <c:v>0.5453371327856642</c:v>
                </c:pt>
                <c:pt idx="4">
                  <c:v>0.45227036521371067</c:v>
                </c:pt>
                <c:pt idx="5">
                  <c:v>0.49982398409907869</c:v>
                </c:pt>
                <c:pt idx="6">
                  <c:v>0.31880731922398586</c:v>
                </c:pt>
              </c:numCache>
            </c:numRef>
          </c:val>
          <c:extLst>
            <c:ext xmlns:c16="http://schemas.microsoft.com/office/drawing/2014/chart" uri="{C3380CC4-5D6E-409C-BE32-E72D297353CC}">
              <c16:uniqueId val="{00000000-B663-408B-AE44-FBB22E109B6F}"/>
            </c:ext>
          </c:extLst>
        </c:ser>
        <c:ser>
          <c:idx val="1"/>
          <c:order val="1"/>
          <c:tx>
            <c:strRef>
              <c:f>'SEGUIMIENTO DEL PLAN DE DESARRO'!$K$2</c:f>
              <c:strCache>
                <c:ptCount val="1"/>
                <c:pt idx="0">
                  <c:v>AVANCE ACUMULADO  CORTE  DICIEMBRE 31 DE 2025 RESPECTO AL CUATRIENIO</c:v>
                </c:pt>
              </c:strCache>
            </c:strRef>
          </c:tx>
          <c:spPr>
            <a:solidFill>
              <a:schemeClr val="accent2"/>
            </a:solidFill>
            <a:ln>
              <a:noFill/>
            </a:ln>
            <a:effectLst/>
            <a:sp3d/>
          </c:spPr>
          <c:invertIfNegative val="0"/>
          <c:dLbls>
            <c:dLbl>
              <c:idx val="0"/>
              <c:layout>
                <c:manualLayout>
                  <c:x val="1.8808777429467103E-2"/>
                  <c:y val="-2.9579067121729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63-408B-AE44-FBB22E109B6F}"/>
                </c:ext>
              </c:extLst>
            </c:dLbl>
            <c:dLbl>
              <c:idx val="1"/>
              <c:layout>
                <c:manualLayout>
                  <c:x val="1.7763845350052286E-2"/>
                  <c:y val="-2.0477815699658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63-408B-AE44-FBB22E109B6F}"/>
                </c:ext>
              </c:extLst>
            </c:dLbl>
            <c:dLbl>
              <c:idx val="2"/>
              <c:layout>
                <c:manualLayout>
                  <c:x val="2.6572401854023497E-2"/>
                  <c:y val="-1.5498005312818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63-408B-AE44-FBB22E109B6F}"/>
                </c:ext>
              </c:extLst>
            </c:dLbl>
            <c:dLbl>
              <c:idx val="3"/>
              <c:layout>
                <c:manualLayout>
                  <c:x val="2.8213166144200628E-2"/>
                  <c:y val="-2.50284414106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63-408B-AE44-FBB22E109B6F}"/>
                </c:ext>
              </c:extLst>
            </c:dLbl>
            <c:dLbl>
              <c:idx val="4"/>
              <c:layout>
                <c:manualLayout>
                  <c:x val="2.1943573667711522E-2"/>
                  <c:y val="-2.2753128555176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663-408B-AE44-FBB22E109B6F}"/>
                </c:ext>
              </c:extLst>
            </c:dLbl>
            <c:dLbl>
              <c:idx val="5"/>
              <c:layout>
                <c:manualLayout>
                  <c:x val="2.4033437826541274E-2"/>
                  <c:y val="-2.9579067121729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663-408B-AE44-FBB22E109B6F}"/>
                </c:ext>
              </c:extLst>
            </c:dLbl>
            <c:dLbl>
              <c:idx val="6"/>
              <c:layout>
                <c:manualLayout>
                  <c:x val="1.7763845350052248E-2"/>
                  <c:y val="-1.592718998862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663-408B-AE44-FBB22E109B6F}"/>
                </c:ext>
              </c:extLst>
            </c:dLbl>
            <c:spPr>
              <a:no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formatCode="0.00%">
                  <c:v>0.4849477038031102</c:v>
                </c:pt>
                <c:pt idx="1">
                  <c:v>0.52039961510956811</c:v>
                </c:pt>
                <c:pt idx="2">
                  <c:v>0.5127485650474547</c:v>
                </c:pt>
                <c:pt idx="3">
                  <c:v>0.48812060511247513</c:v>
                </c:pt>
                <c:pt idx="4">
                  <c:v>0.48114752787939219</c:v>
                </c:pt>
                <c:pt idx="5">
                  <c:v>0.54534437455673601</c:v>
                </c:pt>
                <c:pt idx="6">
                  <c:v>0.36192553511303516</c:v>
                </c:pt>
              </c:numCache>
            </c:numRef>
          </c:val>
          <c:extLst>
            <c:ext xmlns:c16="http://schemas.microsoft.com/office/drawing/2014/chart" uri="{C3380CC4-5D6E-409C-BE32-E72D297353CC}">
              <c16:uniqueId val="{00000001-B663-408B-AE44-FBB22E109B6F}"/>
            </c:ext>
          </c:extLst>
        </c:ser>
        <c:dLbls>
          <c:showLegendKey val="0"/>
          <c:showVal val="0"/>
          <c:showCatName val="0"/>
          <c:showSerName val="0"/>
          <c:showPercent val="0"/>
          <c:showBubbleSize val="0"/>
        </c:dLbls>
        <c:gapWidth val="150"/>
        <c:shape val="box"/>
        <c:axId val="42060016"/>
        <c:axId val="42060848"/>
        <c:axId val="0"/>
      </c:bar3DChart>
      <c:catAx>
        <c:axId val="42060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2060848"/>
        <c:crosses val="autoZero"/>
        <c:auto val="1"/>
        <c:lblAlgn val="ctr"/>
        <c:lblOffset val="100"/>
        <c:noMultiLvlLbl val="0"/>
      </c:catAx>
      <c:valAx>
        <c:axId val="42060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4206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VIDA DIGNA.</a:t>
            </a:r>
            <a:r>
              <a:rPr lang="es-CO" sz="1100" b="1" baseline="0"/>
              <a:t> </a:t>
            </a:r>
            <a:r>
              <a:rPr lang="es-CO" sz="1200" b="1" baseline="0"/>
              <a:t>31 DE DICIEMBRE DE 2025</a:t>
            </a:r>
            <a:endParaRPr lang="es-CO"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2675878368101459E-2"/>
          <c:y val="9.5447848998745546E-2"/>
          <c:w val="0.94883335534024071"/>
          <c:h val="0.71554426995643372"/>
        </c:manualLayout>
      </c:layout>
      <c:barChart>
        <c:barDir val="col"/>
        <c:grouping val="clustered"/>
        <c:varyColors val="0"/>
        <c:ser>
          <c:idx val="0"/>
          <c:order val="0"/>
          <c:tx>
            <c:strRef>
              <c:f>'GRAFICAS VIDA DIGNA '!$D$4</c:f>
              <c:strCache>
                <c:ptCount val="1"/>
                <c:pt idx="0">
                  <c:v>ESPERADO  AL CUATRIENIO CORTE DICIEMBRE 2025</c:v>
                </c:pt>
              </c:strCache>
            </c:strRef>
          </c:tx>
          <c:spPr>
            <a:solidFill>
              <a:schemeClr val="tx2">
                <a:lumMod val="65000"/>
                <a:lumOff val="35000"/>
              </a:schemeClr>
            </a:solidFill>
            <a:ln>
              <a:noFill/>
            </a:ln>
            <a:effectLst/>
          </c:spPr>
          <c:invertIfNegative val="0"/>
          <c:dPt>
            <c:idx val="0"/>
            <c:invertIfNegative val="0"/>
            <c:bubble3D val="0"/>
            <c:spPr>
              <a:solidFill>
                <a:schemeClr val="tx2">
                  <a:lumMod val="65000"/>
                  <a:lumOff val="35000"/>
                </a:schemeClr>
              </a:solidFill>
              <a:ln>
                <a:noFill/>
              </a:ln>
              <a:effectLst/>
            </c:spPr>
            <c:extLst>
              <c:ext xmlns:c16="http://schemas.microsoft.com/office/drawing/2014/chart" uri="{C3380CC4-5D6E-409C-BE32-E72D297353CC}">
                <c16:uniqueId val="{00000001-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0.51473719808474006</c:v>
                </c:pt>
                <c:pt idx="1">
                  <c:v>0.47305009896863803</c:v>
                </c:pt>
                <c:pt idx="2">
                  <c:v>0.4942397664731964</c:v>
                </c:pt>
                <c:pt idx="3">
                  <c:v>0.29275669934640519</c:v>
                </c:pt>
                <c:pt idx="4">
                  <c:v>0.6175572285863945</c:v>
                </c:pt>
                <c:pt idx="5">
                  <c:v>0.5512547869858142</c:v>
                </c:pt>
                <c:pt idx="6">
                  <c:v>0.65956460814799245</c:v>
                </c:pt>
              </c:numCache>
            </c:numRef>
          </c:val>
          <c:extLst>
            <c:ext xmlns:c16="http://schemas.microsoft.com/office/drawing/2014/chart" uri="{C3380CC4-5D6E-409C-BE32-E72D297353CC}">
              <c16:uniqueId val="{00000000-33E6-47EB-A365-58958BF7B656}"/>
            </c:ext>
          </c:extLst>
        </c:ser>
        <c:ser>
          <c:idx val="1"/>
          <c:order val="1"/>
          <c:tx>
            <c:strRef>
              <c:f>'GRAFICAS VIDA DIGNA '!$E$4</c:f>
              <c:strCache>
                <c:ptCount val="1"/>
                <c:pt idx="0">
                  <c:v>LOGRO VIGENCIA  CORTE 31 DE DICIEMBRE DE 2025 RESPECTO AL CUATRIENIO</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E-17E4-4F84-9765-CD5E0AE80E52}"/>
              </c:ext>
            </c:extLst>
          </c:dPt>
          <c:dPt>
            <c:idx val="1"/>
            <c:invertIfNegative val="0"/>
            <c:bubble3D val="0"/>
            <c:spPr>
              <a:solidFill>
                <a:srgbClr val="00B050"/>
              </a:solidFill>
              <a:ln>
                <a:noFill/>
              </a:ln>
              <a:effectLst/>
            </c:spPr>
            <c:extLst>
              <c:ext xmlns:c16="http://schemas.microsoft.com/office/drawing/2014/chart" uri="{C3380CC4-5D6E-409C-BE32-E72D297353CC}">
                <c16:uniqueId val="{0000000C-532B-4FCA-9CB3-60C1949D9DBF}"/>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A-DBF4-4219-A2B6-01F51F733681}"/>
              </c:ext>
            </c:extLst>
          </c:dPt>
          <c:dPt>
            <c:idx val="3"/>
            <c:invertIfNegative val="0"/>
            <c:bubble3D val="0"/>
            <c:spPr>
              <a:solidFill>
                <a:srgbClr val="FF7C80"/>
              </a:solidFill>
              <a:ln>
                <a:noFill/>
              </a:ln>
              <a:effectLst/>
            </c:spPr>
            <c:extLst>
              <c:ext xmlns:c16="http://schemas.microsoft.com/office/drawing/2014/chart" uri="{C3380CC4-5D6E-409C-BE32-E72D297353CC}">
                <c16:uniqueId val="{00000009-DBF4-4219-A2B6-01F51F733681}"/>
              </c:ext>
            </c:extLst>
          </c:dPt>
          <c:dPt>
            <c:idx val="4"/>
            <c:invertIfNegative val="0"/>
            <c:bubble3D val="0"/>
            <c:spPr>
              <a:solidFill>
                <a:srgbClr val="00B050"/>
              </a:solidFill>
              <a:ln>
                <a:noFill/>
              </a:ln>
              <a:effectLst/>
            </c:spPr>
            <c:extLst>
              <c:ext xmlns:c16="http://schemas.microsoft.com/office/drawing/2014/chart" uri="{C3380CC4-5D6E-409C-BE32-E72D297353CC}">
                <c16:uniqueId val="{00000003-6B3B-4907-A15B-5224CC031147}"/>
              </c:ext>
            </c:extLst>
          </c:dPt>
          <c:dPt>
            <c:idx val="5"/>
            <c:invertIfNegative val="0"/>
            <c:bubble3D val="0"/>
            <c:spPr>
              <a:solidFill>
                <a:srgbClr val="00B050"/>
              </a:solidFill>
              <a:ln>
                <a:noFill/>
              </a:ln>
              <a:effectLst/>
            </c:spPr>
            <c:extLst>
              <c:ext xmlns:c16="http://schemas.microsoft.com/office/drawing/2014/chart" uri="{C3380CC4-5D6E-409C-BE32-E72D297353CC}">
                <c16:uniqueId val="{00000004-6B3B-4907-A15B-5224CC031147}"/>
              </c:ext>
            </c:extLst>
          </c:dPt>
          <c:dPt>
            <c:idx val="6"/>
            <c:invertIfNegative val="0"/>
            <c:bubble3D val="0"/>
            <c:spPr>
              <a:solidFill>
                <a:srgbClr val="00B050"/>
              </a:solidFill>
              <a:ln>
                <a:noFill/>
              </a:ln>
              <a:effectLst/>
            </c:spPr>
            <c:extLst>
              <c:ext xmlns:c16="http://schemas.microsoft.com/office/drawing/2014/chart" uri="{C3380CC4-5D6E-409C-BE32-E72D297353CC}">
                <c16:uniqueId val="{00000006-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0.5127485650474547</c:v>
                </c:pt>
                <c:pt idx="1">
                  <c:v>0.50550379134463475</c:v>
                </c:pt>
                <c:pt idx="2">
                  <c:v>0.36954161861032914</c:v>
                </c:pt>
                <c:pt idx="3">
                  <c:v>0.2397588235294118</c:v>
                </c:pt>
                <c:pt idx="4">
                  <c:v>0.67944991280412703</c:v>
                </c:pt>
                <c:pt idx="5">
                  <c:v>0.58130025930285478</c:v>
                </c:pt>
                <c:pt idx="6">
                  <c:v>0.70093698469337029</c:v>
                </c:pt>
              </c:numCache>
            </c:numRef>
          </c:val>
          <c:extLst>
            <c:ext xmlns:c16="http://schemas.microsoft.com/office/drawing/2014/chart" uri="{C3380CC4-5D6E-409C-BE32-E72D297353CC}">
              <c16:uniqueId val="{00000001-33E6-47EB-A365-58958BF7B656}"/>
            </c:ext>
          </c:extLst>
        </c:ser>
        <c:dLbls>
          <c:showLegendKey val="0"/>
          <c:showVal val="0"/>
          <c:showCatName val="0"/>
          <c:showSerName val="0"/>
          <c:showPercent val="0"/>
          <c:showBubbleSize val="0"/>
        </c:dLbls>
        <c:gapWidth val="219"/>
        <c:overlap val="-27"/>
        <c:axId val="428226592"/>
        <c:axId val="426796472"/>
      </c:barChart>
      <c:catAx>
        <c:axId val="42822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6796472"/>
        <c:crosses val="autoZero"/>
        <c:auto val="1"/>
        <c:lblAlgn val="ctr"/>
        <c:lblOffset val="100"/>
        <c:noMultiLvlLbl val="0"/>
      </c:catAx>
      <c:valAx>
        <c:axId val="426796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6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r>
              <a:rPr lang="es-CO" sz="1100" b="1" i="0" baseline="0">
                <a:effectLst/>
              </a:rPr>
              <a:t>AVANCE RESPECTO AL CUATRIENIO DE LOS COMPONENTES </a:t>
            </a:r>
            <a:r>
              <a:rPr lang="es-CO" sz="1100" b="1" i="0" u="none" strike="noStrike" kern="1200" spc="0" baseline="0">
                <a:solidFill>
                  <a:srgbClr val="000000">
                    <a:lumMod val="65000"/>
                    <a:lumOff val="35000"/>
                  </a:srgbClr>
                </a:solidFill>
                <a:effectLst/>
                <a:latin typeface="+mn-lt"/>
                <a:ea typeface="+mn-ea"/>
                <a:cs typeface="+mn-cs"/>
              </a:rPr>
              <a:t>IMPULSORES LINEA ESTRATEGICA VIDA DIGNA. 31 DE DICIEMBRE DE 2025</a:t>
            </a:r>
          </a:p>
          <a:p>
            <a:pPr marL="0" marR="0" indent="0" algn="ctr" defTabSz="914400" rtl="0" eaLnBrk="1" fontAlgn="auto" latinLnBrk="0" hangingPunct="1">
              <a:lnSpc>
                <a:spcPct val="100000"/>
              </a:lnSpc>
              <a:spcBef>
                <a:spcPts val="0"/>
              </a:spcBef>
              <a:spcAft>
                <a:spcPts val="0"/>
              </a:spcAft>
              <a:buClrTx/>
              <a:buSzTx/>
              <a:buFontTx/>
              <a:buNone/>
              <a:tabLst/>
              <a:defRPr sz="1100">
                <a:solidFill>
                  <a:srgbClr val="000000">
                    <a:lumMod val="65000"/>
                    <a:lumOff val="35000"/>
                  </a:srgbClr>
                </a:solidFill>
              </a:defRPr>
            </a:pPr>
            <a:r>
              <a:rPr lang="es-CO" sz="1100" b="1" i="0" u="none" strike="noStrike" kern="1200" spc="0" baseline="0">
                <a:solidFill>
                  <a:srgbClr val="000000">
                    <a:lumMod val="65000"/>
                    <a:lumOff val="35000"/>
                  </a:srgbClr>
                </a:solidFill>
                <a:effectLst/>
                <a:latin typeface="+mn-lt"/>
                <a:ea typeface="+mn-ea"/>
                <a:cs typeface="+mn-cs"/>
              </a:rPr>
              <a:t>PONDERADO.</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'!$N$5</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'!$N$6:$N$12</c:f>
              <c:numCache>
                <c:formatCode>0.0%</c:formatCode>
                <c:ptCount val="7"/>
                <c:pt idx="0">
                  <c:v>0.45582355138628688</c:v>
                </c:pt>
                <c:pt idx="1">
                  <c:v>0.52231078202059211</c:v>
                </c:pt>
                <c:pt idx="2">
                  <c:v>0.33422682157751127</c:v>
                </c:pt>
                <c:pt idx="3">
                  <c:v>0.32045196078431371</c:v>
                </c:pt>
                <c:pt idx="4">
                  <c:v>0.66691442644710563</c:v>
                </c:pt>
                <c:pt idx="5">
                  <c:v>0.51072814095047869</c:v>
                </c:pt>
                <c:pt idx="6">
                  <c:v>0.46651797413887564</c:v>
                </c:pt>
              </c:numCache>
            </c:numRef>
          </c:val>
          <c:extLst>
            <c:ext xmlns:c16="http://schemas.microsoft.com/office/drawing/2014/chart" uri="{C3380CC4-5D6E-409C-BE32-E72D297353CC}">
              <c16:uniqueId val="{00000000-596F-4C78-9634-B52A345DD473}"/>
            </c:ext>
          </c:extLst>
        </c:ser>
        <c:ser>
          <c:idx val="1"/>
          <c:order val="1"/>
          <c:tx>
            <c:strRef>
              <c:f>'GRAFICAS VIDA DIGNA '!$O$5</c:f>
              <c:strCache>
                <c:ptCount val="1"/>
                <c:pt idx="0">
                  <c:v>LOGRO CORTE 31 DE DICIEMBRE DE 2025 RESPECTO AL CUATRIENIO</c:v>
                </c:pt>
              </c:strCache>
            </c:strRef>
          </c:tx>
          <c:spPr>
            <a:solidFill>
              <a:schemeClr val="accent2"/>
            </a:solidFill>
            <a:ln>
              <a:noFill/>
            </a:ln>
            <a:effectLst/>
          </c:spPr>
          <c:invertIfNegative val="0"/>
          <c:dLbls>
            <c:dLbl>
              <c:idx val="3"/>
              <c:layout>
                <c:manualLayout>
                  <c:x val="1.2437810945273632E-2"/>
                  <c:y val="1.1376564277588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6F-4C78-9634-B52A345DD4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'!$O$6:$O$12</c:f>
              <c:numCache>
                <c:formatCode>0.0%</c:formatCode>
                <c:ptCount val="7"/>
                <c:pt idx="0">
                  <c:v>0.48090129462939524</c:v>
                </c:pt>
                <c:pt idx="1">
                  <c:v>0.44645446238331843</c:v>
                </c:pt>
                <c:pt idx="2">
                  <c:v>0.34878279505494242</c:v>
                </c:pt>
                <c:pt idx="3">
                  <c:v>0.22248258823529413</c:v>
                </c:pt>
                <c:pt idx="4">
                  <c:v>0.53503946200167696</c:v>
                </c:pt>
                <c:pt idx="5">
                  <c:v>0.50415658631572002</c:v>
                </c:pt>
                <c:pt idx="6">
                  <c:v>0.7250078734798705</c:v>
                </c:pt>
              </c:numCache>
            </c:numRef>
          </c:val>
          <c:extLst>
            <c:ext xmlns:c16="http://schemas.microsoft.com/office/drawing/2014/chart" uri="{C3380CC4-5D6E-409C-BE32-E72D297353CC}">
              <c16:uniqueId val="{00000001-596F-4C78-9634-B52A345DD473}"/>
            </c:ext>
          </c:extLst>
        </c:ser>
        <c:dLbls>
          <c:showLegendKey val="0"/>
          <c:showVal val="0"/>
          <c:showCatName val="0"/>
          <c:showSerName val="0"/>
          <c:showPercent val="0"/>
          <c:showBubbleSize val="0"/>
        </c:dLbls>
        <c:gapWidth val="219"/>
        <c:overlap val="-27"/>
        <c:axId val="426798040"/>
        <c:axId val="426798432"/>
      </c:barChart>
      <c:catAx>
        <c:axId val="4267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8432"/>
        <c:crosses val="autoZero"/>
        <c:auto val="1"/>
        <c:lblAlgn val="ctr"/>
        <c:lblOffset val="100"/>
        <c:noMultiLvlLbl val="0"/>
      </c:catAx>
      <c:valAx>
        <c:axId val="426798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8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Acceso a Servicios Públicos Básicos Avance Ponderado </a:t>
            </a:r>
            <a:r>
              <a:rPr lang="en-US" sz="1400" b="0" i="0" u="none" strike="noStrike" baseline="0">
                <a:effectLst/>
              </a:rPr>
              <a:t>31 de diciembre de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806323069040229E-2"/>
          <c:y val="0.12172106387384812"/>
          <c:w val="0.94519367693095979"/>
          <c:h val="0.79189058004983648"/>
        </c:manualLayout>
      </c:layout>
      <c:barChart>
        <c:barDir val="col"/>
        <c:grouping val="clustered"/>
        <c:varyColors val="0"/>
        <c:ser>
          <c:idx val="0"/>
          <c:order val="0"/>
          <c:tx>
            <c:strRef>
              <c:f>'GRAFICAS VIDA DIGNA '!$D$56</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'!$D$57:$D$60</c:f>
              <c:numCache>
                <c:formatCode>0.0%</c:formatCode>
                <c:ptCount val="4"/>
                <c:pt idx="0">
                  <c:v>0.34878279505494242</c:v>
                </c:pt>
                <c:pt idx="1">
                  <c:v>0.42700370015697831</c:v>
                </c:pt>
                <c:pt idx="2">
                  <c:v>0.26678571428571429</c:v>
                </c:pt>
                <c:pt idx="3">
                  <c:v>0.35318833333333338</c:v>
                </c:pt>
              </c:numCache>
            </c:numRef>
          </c:val>
          <c:extLst>
            <c:ext xmlns:c16="http://schemas.microsoft.com/office/drawing/2014/chart" uri="{C3380CC4-5D6E-409C-BE32-E72D297353CC}">
              <c16:uniqueId val="{00000000-97FE-4DCB-A3BD-D280D7E1DCD4}"/>
            </c:ext>
          </c:extLst>
        </c:ser>
        <c:dLbls>
          <c:showLegendKey val="0"/>
          <c:showVal val="0"/>
          <c:showCatName val="0"/>
          <c:showSerName val="0"/>
          <c:showPercent val="0"/>
          <c:showBubbleSize val="0"/>
        </c:dLbls>
        <c:gapWidth val="219"/>
        <c:overlap val="-27"/>
        <c:axId val="426796864"/>
        <c:axId val="426798824"/>
      </c:barChart>
      <c:catAx>
        <c:axId val="42679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6798824"/>
        <c:crosses val="autoZero"/>
        <c:auto val="1"/>
        <c:lblAlgn val="ctr"/>
        <c:lblOffset val="100"/>
        <c:noMultiLvlLbl val="0"/>
      </c:catAx>
      <c:valAx>
        <c:axId val="426798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6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Vivienda Digna y Hábitat</a:t>
            </a:r>
            <a:r>
              <a:rPr lang="en-US" baseline="0"/>
              <a:t> Avance ponderado </a:t>
            </a:r>
            <a:r>
              <a:rPr lang="en-US" sz="1400" b="0" i="0" u="none" strike="noStrike" baseline="0">
                <a:effectLst/>
              </a:rPr>
              <a:t>31 de diciembre de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667041619797521E-2"/>
          <c:y val="0.17171296296296296"/>
          <c:w val="0.90693260564651645"/>
          <c:h val="0.57996157611959942"/>
        </c:manualLayout>
      </c:layout>
      <c:barChart>
        <c:barDir val="col"/>
        <c:grouping val="clustered"/>
        <c:varyColors val="0"/>
        <c:ser>
          <c:idx val="0"/>
          <c:order val="0"/>
          <c:tx>
            <c:strRef>
              <c:f>'GRAFICAS VIDA DIGNA '!$D$71</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'!$D$72:$D$76</c:f>
              <c:numCache>
                <c:formatCode>0.0%</c:formatCode>
                <c:ptCount val="5"/>
                <c:pt idx="0">
                  <c:v>0.22248258823529413</c:v>
                </c:pt>
                <c:pt idx="1">
                  <c:v>8.6300000000000002E-2</c:v>
                </c:pt>
                <c:pt idx="2">
                  <c:v>0.28556862745098038</c:v>
                </c:pt>
                <c:pt idx="3">
                  <c:v>0.29360000000000003</c:v>
                </c:pt>
                <c:pt idx="4">
                  <c:v>0.26100999999999996</c:v>
                </c:pt>
              </c:numCache>
            </c:numRef>
          </c:val>
          <c:extLst>
            <c:ext xmlns:c16="http://schemas.microsoft.com/office/drawing/2014/chart" uri="{C3380CC4-5D6E-409C-BE32-E72D297353CC}">
              <c16:uniqueId val="{00000000-E341-4A3A-9E62-E1094E5DD3BF}"/>
            </c:ext>
          </c:extLst>
        </c:ser>
        <c:dLbls>
          <c:showLegendKey val="0"/>
          <c:showVal val="0"/>
          <c:showCatName val="0"/>
          <c:showSerName val="0"/>
          <c:showPercent val="0"/>
          <c:showBubbleSize val="0"/>
        </c:dLbls>
        <c:gapWidth val="219"/>
        <c:overlap val="-27"/>
        <c:axId val="426794512"/>
        <c:axId val="426797256"/>
      </c:barChart>
      <c:catAx>
        <c:axId val="42679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7256"/>
        <c:crosses val="autoZero"/>
        <c:auto val="1"/>
        <c:lblAlgn val="ctr"/>
        <c:lblOffset val="100"/>
        <c:noMultiLvlLbl val="0"/>
      </c:catAx>
      <c:valAx>
        <c:axId val="426797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Artes,</a:t>
            </a:r>
            <a:r>
              <a:rPr lang="en-US" baseline="0"/>
              <a:t> Cultura y Patrimonio </a:t>
            </a:r>
            <a:r>
              <a:rPr lang="en-US"/>
              <a:t>Avance</a:t>
            </a:r>
            <a:r>
              <a:rPr lang="en-US" baseline="0"/>
              <a:t> ponderado </a:t>
            </a:r>
            <a:r>
              <a:rPr lang="en-US" sz="1400" b="0" i="0" u="none" strike="noStrike" baseline="0">
                <a:effectLst/>
              </a:rPr>
              <a:t>31 de diciembre de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VIDA DIGNA '!$D$80</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'!$D$81:$D$86</c:f>
              <c:numCache>
                <c:formatCode>0.00%</c:formatCode>
                <c:ptCount val="6"/>
                <c:pt idx="0">
                  <c:v>0.53503946200167696</c:v>
                </c:pt>
                <c:pt idx="1">
                  <c:v>0.51559228074633057</c:v>
                </c:pt>
                <c:pt idx="2">
                  <c:v>0.98750000000000004</c:v>
                </c:pt>
                <c:pt idx="3">
                  <c:v>0.59612777777777781</c:v>
                </c:pt>
                <c:pt idx="4">
                  <c:v>0.64</c:v>
                </c:pt>
                <c:pt idx="5">
                  <c:v>0.63333000000000006</c:v>
                </c:pt>
              </c:numCache>
            </c:numRef>
          </c:val>
          <c:extLst>
            <c:ext xmlns:c16="http://schemas.microsoft.com/office/drawing/2014/chart" uri="{C3380CC4-5D6E-409C-BE32-E72D297353CC}">
              <c16:uniqueId val="{00000000-D4A7-40D5-96E4-8C19C95B0605}"/>
            </c:ext>
          </c:extLst>
        </c:ser>
        <c:dLbls>
          <c:showLegendKey val="0"/>
          <c:showVal val="0"/>
          <c:showCatName val="0"/>
          <c:showSerName val="0"/>
          <c:showPercent val="0"/>
          <c:showBubbleSize val="0"/>
        </c:dLbls>
        <c:gapWidth val="219"/>
        <c:overlap val="-27"/>
        <c:axId val="426797648"/>
        <c:axId val="426800000"/>
      </c:barChart>
      <c:catAx>
        <c:axId val="42679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6800000"/>
        <c:crosses val="autoZero"/>
        <c:auto val="1"/>
        <c:lblAlgn val="ctr"/>
        <c:lblOffset val="100"/>
        <c:noMultiLvlLbl val="0"/>
      </c:catAx>
      <c:valAx>
        <c:axId val="4268000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7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Deporte y Recreación Avance ponderado corte </a:t>
            </a:r>
            <a:r>
              <a:rPr lang="en-US" sz="1400" b="0" i="0" u="none" strike="noStrike" baseline="0">
                <a:effectLst/>
              </a:rPr>
              <a:t>31 de diciembre de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VIDA DIGNA '!$D$91</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'!$D$92:$D$99</c:f>
              <c:numCache>
                <c:formatCode>0.0%</c:formatCode>
                <c:ptCount val="8"/>
                <c:pt idx="0">
                  <c:v>0.50415658631572002</c:v>
                </c:pt>
                <c:pt idx="1">
                  <c:v>0.41416666666666668</c:v>
                </c:pt>
                <c:pt idx="2">
                  <c:v>0.35829394876325088</c:v>
                </c:pt>
                <c:pt idx="3">
                  <c:v>0.58239999999999992</c:v>
                </c:pt>
                <c:pt idx="4">
                  <c:v>0.68686416133617634</c:v>
                </c:pt>
                <c:pt idx="5">
                  <c:v>0.48642622950819669</c:v>
                </c:pt>
                <c:pt idx="6">
                  <c:v>0.69215680555555559</c:v>
                </c:pt>
                <c:pt idx="7">
                  <c:v>0.85509487179487176</c:v>
                </c:pt>
              </c:numCache>
            </c:numRef>
          </c:val>
          <c:extLst>
            <c:ext xmlns:c16="http://schemas.microsoft.com/office/drawing/2014/chart" uri="{C3380CC4-5D6E-409C-BE32-E72D297353CC}">
              <c16:uniqueId val="{00000000-ABBA-480B-A84C-F9FD1136DE88}"/>
            </c:ext>
          </c:extLst>
        </c:ser>
        <c:dLbls>
          <c:showLegendKey val="0"/>
          <c:showVal val="0"/>
          <c:showCatName val="0"/>
          <c:showSerName val="0"/>
          <c:showPercent val="0"/>
          <c:showBubbleSize val="0"/>
        </c:dLbls>
        <c:gapWidth val="219"/>
        <c:overlap val="-27"/>
        <c:axId val="426794904"/>
        <c:axId val="426795296"/>
      </c:barChart>
      <c:catAx>
        <c:axId val="42679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6795296"/>
        <c:crosses val="autoZero"/>
        <c:auto val="1"/>
        <c:lblAlgn val="ctr"/>
        <c:lblOffset val="100"/>
        <c:noMultiLvlLbl val="0"/>
      </c:catAx>
      <c:valAx>
        <c:axId val="426795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r>
              <a:rPr lang="en-US" sz="1100" b="1"/>
              <a:t>AVANCE   LINEA ESTRATEGICA </a:t>
            </a:r>
            <a:r>
              <a:rPr lang="en-US" sz="1100" b="1" i="0" u="none" strike="noStrike" baseline="0">
                <a:effectLst/>
              </a:rPr>
              <a:t>VIDA DIGNA. COMPONENTES IMPULSORES DE AVANCE. </a:t>
            </a:r>
            <a:r>
              <a:rPr lang="en-US" sz="1100" b="1"/>
              <a:t> VIGENCIA 2025 </a:t>
            </a:r>
            <a:r>
              <a:rPr lang="en-US" sz="1100" b="1" i="0" u="none" strike="noStrike" kern="1200" spc="0" baseline="0">
                <a:solidFill>
                  <a:srgbClr val="000000">
                    <a:lumMod val="65000"/>
                    <a:lumOff val="35000"/>
                  </a:srgbClr>
                </a:solidFill>
                <a:effectLst/>
                <a:latin typeface="+mn-lt"/>
                <a:ea typeface="+mn-ea"/>
                <a:cs typeface="+mn-cs"/>
              </a:rPr>
              <a:t>CORTE </a:t>
            </a:r>
            <a:r>
              <a:rPr lang="es-CO" sz="1100" b="1" i="0" u="none" strike="noStrike" kern="1200" spc="0" baseline="0">
                <a:solidFill>
                  <a:srgbClr val="000000">
                    <a:lumMod val="65000"/>
                    <a:lumOff val="35000"/>
                  </a:srgbClr>
                </a:solidFill>
                <a:effectLst/>
                <a:latin typeface="+mn-lt"/>
                <a:ea typeface="+mn-ea"/>
                <a:cs typeface="+mn-cs"/>
              </a:rPr>
              <a:t>31 DE DICIEMBRE DE 2025</a:t>
            </a:r>
          </a:p>
          <a:p>
            <a:pPr marL="0" marR="0" indent="0" algn="ctr" defTabSz="914400" rtl="0" eaLnBrk="1" fontAlgn="auto" latinLnBrk="0" hangingPunct="1">
              <a:lnSpc>
                <a:spcPct val="100000"/>
              </a:lnSpc>
              <a:spcBef>
                <a:spcPts val="0"/>
              </a:spcBef>
              <a:spcAft>
                <a:spcPts val="0"/>
              </a:spcAft>
              <a:buClrTx/>
              <a:buSzTx/>
              <a:buFontTx/>
              <a:buNone/>
              <a:tabLst/>
              <a:defRPr sz="1100" b="1">
                <a:solidFill>
                  <a:srgbClr val="000000">
                    <a:lumMod val="65000"/>
                    <a:lumOff val="35000"/>
                  </a:srgbClr>
                </a:solidFill>
              </a:defRPr>
            </a:pPr>
            <a:r>
              <a:rPr lang="es-CO" sz="1100" b="1" i="0" u="none" strike="noStrike" baseline="0">
                <a:effectLst/>
              </a:rPr>
              <a:t>.</a:t>
            </a:r>
            <a:endParaRPr lang="en-US" sz="11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'!$D$113</c:f>
              <c:strCache>
                <c:ptCount val="1"/>
                <c:pt idx="0">
                  <c:v>AVANCE  PARCIAL VIGENCIA  CORTE 31 DE DICIEMBRE DE 2025</c:v>
                </c:pt>
              </c:strCache>
            </c:strRef>
          </c:tx>
          <c:spPr>
            <a:solidFill>
              <a:srgbClr val="00B050"/>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1BF3-47DB-9239-A5F4E34A90A0}"/>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6-1BF3-47DB-9239-A5F4E34A90A0}"/>
              </c:ext>
            </c:extLst>
          </c:dPt>
          <c:dPt>
            <c:idx val="2"/>
            <c:invertIfNegative val="0"/>
            <c:bubble3D val="0"/>
            <c:spPr>
              <a:solidFill>
                <a:srgbClr val="FFFF00"/>
              </a:solidFill>
              <a:ln>
                <a:noFill/>
              </a:ln>
              <a:effectLst/>
            </c:spPr>
            <c:extLst>
              <c:ext xmlns:c16="http://schemas.microsoft.com/office/drawing/2014/chart" uri="{C3380CC4-5D6E-409C-BE32-E72D297353CC}">
                <c16:uniqueId val="{00000003-1BF3-47DB-9239-A5F4E34A90A0}"/>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B-1BF3-47DB-9239-A5F4E34A90A0}"/>
              </c:ext>
            </c:extLst>
          </c:dPt>
          <c:dPt>
            <c:idx val="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D-1BF3-47DB-9239-A5F4E34A90A0}"/>
              </c:ext>
            </c:extLst>
          </c:dPt>
          <c:dPt>
            <c:idx val="5"/>
            <c:invertIfNegative val="0"/>
            <c:bubble3D val="0"/>
            <c:spPr>
              <a:solidFill>
                <a:srgbClr val="00B050"/>
              </a:solidFill>
              <a:ln>
                <a:noFill/>
              </a:ln>
              <a:effectLst/>
            </c:spPr>
            <c:extLst>
              <c:ext xmlns:c16="http://schemas.microsoft.com/office/drawing/2014/chart" uri="{C3380CC4-5D6E-409C-BE32-E72D297353CC}">
                <c16:uniqueId val="{0000000E-1BF3-47DB-9239-A5F4E34A90A0}"/>
              </c:ext>
            </c:extLst>
          </c:dPt>
          <c:dPt>
            <c:idx val="6"/>
            <c:invertIfNegative val="0"/>
            <c:bubble3D val="0"/>
            <c:spPr>
              <a:solidFill>
                <a:srgbClr val="00B050"/>
              </a:solidFill>
              <a:ln>
                <a:noFill/>
              </a:ln>
              <a:effectLst/>
            </c:spPr>
            <c:extLst>
              <c:ext xmlns:c16="http://schemas.microsoft.com/office/drawing/2014/chart" uri="{C3380CC4-5D6E-409C-BE32-E72D297353CC}">
                <c16:uniqueId val="{00000010-1BF3-47DB-9239-A5F4E34A90A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'!$C$114:$C$120</c:f>
              <c:strCache>
                <c:ptCount val="7"/>
                <c:pt idx="0">
                  <c:v> VIDA DIGNA
</c:v>
                </c:pt>
                <c:pt idx="1">
                  <c:v> Educación
</c:v>
                </c:pt>
                <c:pt idx="2">
                  <c:v> Acceso a Servicios Básicos
</c:v>
                </c:pt>
                <c:pt idx="3">
                  <c:v> Vivienda Digna y Hábitat
</c:v>
                </c:pt>
                <c:pt idx="4">
                  <c:v>Artes, Cultura y Patrimonio
</c:v>
                </c:pt>
                <c:pt idx="5">
                  <c:v> Infancia, Adolescencia y Familia
</c:v>
                </c:pt>
                <c:pt idx="6">
                  <c:v>Deporte y Recreación
</c:v>
                </c:pt>
              </c:strCache>
            </c:strRef>
          </c:cat>
          <c:val>
            <c:numRef>
              <c:f>'GRAFICAS VIDA DIGNA '!$D$114:$D$120</c:f>
              <c:numCache>
                <c:formatCode>0.0%</c:formatCode>
                <c:ptCount val="7"/>
                <c:pt idx="0">
                  <c:v>0.71761002085769865</c:v>
                </c:pt>
                <c:pt idx="1">
                  <c:v>0.85005352404281742</c:v>
                </c:pt>
                <c:pt idx="2">
                  <c:v>0.66509994615498125</c:v>
                </c:pt>
                <c:pt idx="3">
                  <c:v>0.77680263157894736</c:v>
                </c:pt>
                <c:pt idx="4">
                  <c:v>0.77299867847723902</c:v>
                </c:pt>
                <c:pt idx="5">
                  <c:v>0.97274305555555551</c:v>
                </c:pt>
                <c:pt idx="6">
                  <c:v>0.93306223549163236</c:v>
                </c:pt>
              </c:numCache>
            </c:numRef>
          </c:val>
          <c:extLst>
            <c:ext xmlns:c16="http://schemas.microsoft.com/office/drawing/2014/chart" uri="{C3380CC4-5D6E-409C-BE32-E72D297353CC}">
              <c16:uniqueId val="{00000000-1BF3-47DB-9239-A5F4E34A90A0}"/>
            </c:ext>
          </c:extLst>
        </c:ser>
        <c:dLbls>
          <c:showLegendKey val="0"/>
          <c:showVal val="0"/>
          <c:showCatName val="0"/>
          <c:showSerName val="0"/>
          <c:showPercent val="0"/>
          <c:showBubbleSize val="0"/>
        </c:dLbls>
        <c:gapWidth val="219"/>
        <c:overlap val="-27"/>
        <c:axId val="426796080"/>
        <c:axId val="426801176"/>
      </c:barChart>
      <c:catAx>
        <c:axId val="42679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6801176"/>
        <c:crosses val="autoZero"/>
        <c:auto val="1"/>
        <c:lblAlgn val="ctr"/>
        <c:lblOffset val="100"/>
        <c:noMultiLvlLbl val="0"/>
      </c:catAx>
      <c:valAx>
        <c:axId val="426801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679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Componentes Impulsores del avance: Educación</a:t>
            </a:r>
            <a:r>
              <a:rPr lang="en-US" baseline="0"/>
              <a:t> avance ponderado corte 31 de diciembre de 2025.</a:t>
            </a:r>
            <a:endParaRPr lang="en-US"/>
          </a:p>
        </c:rich>
      </c:tx>
      <c:layout>
        <c:manualLayout>
          <c:xMode val="edge"/>
          <c:yMode val="edge"/>
          <c:x val="0.22190596001284454"/>
          <c:y val="7.054080730158453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VIDA DIGNA '!$D$36</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'!$D$37:$D$53</c:f>
              <c:numCache>
                <c:formatCode>0.0%</c:formatCode>
                <c:ptCount val="17"/>
                <c:pt idx="0">
                  <c:v>0.44645446238331843</c:v>
                </c:pt>
                <c:pt idx="1">
                  <c:v>0.34426666666666667</c:v>
                </c:pt>
                <c:pt idx="2">
                  <c:v>0.58452380952380956</c:v>
                </c:pt>
                <c:pt idx="3">
                  <c:v>0.43835776173121815</c:v>
                </c:pt>
                <c:pt idx="4">
                  <c:v>0.56458837430636211</c:v>
                </c:pt>
                <c:pt idx="5">
                  <c:v>0.80359971487406945</c:v>
                </c:pt>
                <c:pt idx="6">
                  <c:v>0.71393939393939398</c:v>
                </c:pt>
                <c:pt idx="7">
                  <c:v>0.57991048593350381</c:v>
                </c:pt>
                <c:pt idx="8">
                  <c:v>0.44778401496925957</c:v>
                </c:pt>
                <c:pt idx="9">
                  <c:v>0.33333333333333331</c:v>
                </c:pt>
                <c:pt idx="10">
                  <c:v>0.84124999999999994</c:v>
                </c:pt>
                <c:pt idx="11">
                  <c:v>0.47887850467289728</c:v>
                </c:pt>
                <c:pt idx="12">
                  <c:v>0.30288872549019608</c:v>
                </c:pt>
                <c:pt idx="13">
                  <c:v>0.46981842105263161</c:v>
                </c:pt>
                <c:pt idx="14">
                  <c:v>0.4882352941176471</c:v>
                </c:pt>
                <c:pt idx="15">
                  <c:v>9.6897940913160258E-2</c:v>
                </c:pt>
                <c:pt idx="16">
                  <c:v>0.70870833333333327</c:v>
                </c:pt>
              </c:numCache>
            </c:numRef>
          </c:val>
          <c:extLst>
            <c:ext xmlns:c16="http://schemas.microsoft.com/office/drawing/2014/chart" uri="{C3380CC4-5D6E-409C-BE32-E72D297353CC}">
              <c16:uniqueId val="{00000000-F18F-4278-B207-958F8E23F81E}"/>
            </c:ext>
          </c:extLst>
        </c:ser>
        <c:dLbls>
          <c:showLegendKey val="0"/>
          <c:showVal val="0"/>
          <c:showCatName val="0"/>
          <c:showSerName val="0"/>
          <c:showPercent val="0"/>
          <c:showBubbleSize val="0"/>
        </c:dLbls>
        <c:gapWidth val="219"/>
        <c:overlap val="-27"/>
        <c:axId val="429232488"/>
        <c:axId val="429229744"/>
      </c:barChart>
      <c:catAx>
        <c:axId val="429232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9229744"/>
        <c:crosses val="autoZero"/>
        <c:auto val="1"/>
        <c:lblAlgn val="ctr"/>
        <c:lblOffset val="100"/>
        <c:noMultiLvlLbl val="0"/>
      </c:catAx>
      <c:valAx>
        <c:axId val="429229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2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Infancia, Adolescencia y Familia Avance ponderado corte </a:t>
            </a:r>
            <a:r>
              <a:rPr lang="en-US" sz="1400" b="0" i="0" u="none" strike="noStrike" baseline="0">
                <a:effectLst/>
              </a:rPr>
              <a:t>31 de diciembre de 2025</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'!$D$102</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'!$D$103:$D$106</c:f>
              <c:numCache>
                <c:formatCode>0.0%</c:formatCode>
                <c:ptCount val="4"/>
                <c:pt idx="0">
                  <c:v>0.7250078734798705</c:v>
                </c:pt>
                <c:pt idx="1">
                  <c:v>0.78121367009638698</c:v>
                </c:pt>
                <c:pt idx="2">
                  <c:v>0.46282430555555554</c:v>
                </c:pt>
                <c:pt idx="3">
                  <c:v>0.87477984817115262</c:v>
                </c:pt>
              </c:numCache>
            </c:numRef>
          </c:val>
          <c:extLst>
            <c:ext xmlns:c16="http://schemas.microsoft.com/office/drawing/2014/chart" uri="{C3380CC4-5D6E-409C-BE32-E72D297353CC}">
              <c16:uniqueId val="{00000000-6023-41B7-ACCF-4F1A3D1E6B0B}"/>
            </c:ext>
          </c:extLst>
        </c:ser>
        <c:dLbls>
          <c:showLegendKey val="0"/>
          <c:showVal val="0"/>
          <c:showCatName val="0"/>
          <c:showSerName val="0"/>
          <c:showPercent val="0"/>
          <c:showBubbleSize val="0"/>
        </c:dLbls>
        <c:gapWidth val="219"/>
        <c:overlap val="-27"/>
        <c:axId val="429233272"/>
        <c:axId val="429227392"/>
      </c:barChart>
      <c:catAx>
        <c:axId val="4292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7392"/>
        <c:crosses val="autoZero"/>
        <c:auto val="1"/>
        <c:lblAlgn val="ctr"/>
        <c:lblOffset val="100"/>
        <c:noMultiLvlLbl val="0"/>
      </c:catAx>
      <c:valAx>
        <c:axId val="429227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3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r>
              <a:rPr lang="en-US" sz="1300" b="1"/>
              <a:t>AVANCE RESPECTO AL CUATRIENIO</a:t>
            </a:r>
            <a:r>
              <a:rPr lang="en-US" sz="1300" b="1" baseline="0"/>
              <a:t> COMPONENTE IMPULSOR EDUCACIÓN. </a:t>
            </a:r>
            <a:r>
              <a:rPr lang="en-US" sz="1300" b="1" i="0" u="none" strike="noStrike" kern="1200" spc="0" baseline="0">
                <a:solidFill>
                  <a:srgbClr val="000000">
                    <a:lumMod val="65000"/>
                    <a:lumOff val="35000"/>
                  </a:srgbClr>
                </a:solidFill>
                <a:latin typeface="+mn-lt"/>
                <a:ea typeface="+mn-ea"/>
                <a:cs typeface="+mn-cs"/>
              </a:rPr>
              <a:t>PROGRAMAS. </a:t>
            </a:r>
            <a:r>
              <a:rPr lang="es-CO" sz="1300" b="1" i="0" u="none" strike="noStrike" kern="1200" spc="0" baseline="0">
                <a:solidFill>
                  <a:srgbClr val="000000">
                    <a:lumMod val="65000"/>
                    <a:lumOff val="35000"/>
                  </a:srgbClr>
                </a:solidFill>
                <a:latin typeface="+mn-lt"/>
                <a:ea typeface="+mn-ea"/>
                <a:cs typeface="+mn-cs"/>
              </a:rPr>
              <a:t>31 DE DICIEMBRE DE 2025</a:t>
            </a:r>
          </a:p>
          <a:p>
            <a:pPr marL="0" marR="0" indent="0" algn="ctr" defTabSz="914400" rtl="0" eaLnBrk="1" fontAlgn="auto" latinLnBrk="0" hangingPunct="1">
              <a:lnSpc>
                <a:spcPct val="100000"/>
              </a:lnSpc>
              <a:spcBef>
                <a:spcPts val="0"/>
              </a:spcBef>
              <a:spcAft>
                <a:spcPts val="0"/>
              </a:spcAft>
              <a:buClrTx/>
              <a:buSzTx/>
              <a:buFontTx/>
              <a:buNone/>
              <a:tabLst/>
              <a:defRPr sz="1300" b="1">
                <a:solidFill>
                  <a:srgbClr val="000000">
                    <a:lumMod val="65000"/>
                    <a:lumOff val="35000"/>
                  </a:srgbClr>
                </a:solidFill>
              </a:defRPr>
            </a:pPr>
            <a:endParaRPr lang="es-CO" sz="1300">
              <a:effectLst/>
            </a:endParaRPr>
          </a:p>
        </c:rich>
      </c:tx>
      <c:layout>
        <c:manualLayout>
          <c:xMode val="edge"/>
          <c:yMode val="edge"/>
          <c:x val="0.14831192699256893"/>
          <c:y val="2.4835892440638794E-3"/>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bar"/>
        <c:grouping val="clustered"/>
        <c:varyColors val="0"/>
        <c:ser>
          <c:idx val="0"/>
          <c:order val="0"/>
          <c:tx>
            <c:strRef>
              <c:f>'GRAFICAS VIDA DIGNA '!$E$36</c:f>
              <c:strCache>
                <c:ptCount val="1"/>
                <c:pt idx="0">
                  <c:v>AVANCE CUATRIENIO COMPONENTE IMPULSOR EDUCACIÓN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1A-5450-4B98-A8BD-15B0B296A4E8}"/>
              </c:ext>
            </c:extLst>
          </c:dPt>
          <c:dPt>
            <c:idx val="1"/>
            <c:invertIfNegative val="0"/>
            <c:bubble3D val="0"/>
            <c:spPr>
              <a:solidFill>
                <a:srgbClr val="FFFF00"/>
              </a:solidFill>
              <a:ln>
                <a:noFill/>
              </a:ln>
              <a:effectLst/>
            </c:spPr>
            <c:extLst>
              <c:ext xmlns:c16="http://schemas.microsoft.com/office/drawing/2014/chart" uri="{C3380CC4-5D6E-409C-BE32-E72D297353CC}">
                <c16:uniqueId val="{00000014-5450-4B98-A8BD-15B0B296A4E8}"/>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16-818F-4544-A037-9FE4BA1EC89D}"/>
              </c:ext>
            </c:extLst>
          </c:dPt>
          <c:dPt>
            <c:idx val="4"/>
            <c:invertIfNegative val="0"/>
            <c:bubble3D val="0"/>
            <c:spPr>
              <a:solidFill>
                <a:srgbClr val="00B050"/>
              </a:solidFill>
              <a:ln>
                <a:noFill/>
              </a:ln>
              <a:effectLst/>
            </c:spPr>
            <c:extLst>
              <c:ext xmlns:c16="http://schemas.microsoft.com/office/drawing/2014/chart" uri="{C3380CC4-5D6E-409C-BE32-E72D297353CC}">
                <c16:uniqueId val="{00000012-2582-495B-BC16-F46AC207DBD7}"/>
              </c:ext>
            </c:extLst>
          </c:dPt>
          <c:dPt>
            <c:idx val="5"/>
            <c:invertIfNegative val="0"/>
            <c:bubble3D val="0"/>
            <c:spPr>
              <a:solidFill>
                <a:srgbClr val="00B050"/>
              </a:solidFill>
              <a:ln>
                <a:noFill/>
              </a:ln>
              <a:effectLst/>
            </c:spPr>
            <c:extLst>
              <c:ext xmlns:c16="http://schemas.microsoft.com/office/drawing/2014/chart" uri="{C3380CC4-5D6E-409C-BE32-E72D297353CC}">
                <c16:uniqueId val="{0000000F-5450-4B98-A8BD-15B0B296A4E8}"/>
              </c:ext>
            </c:extLst>
          </c:dPt>
          <c:dPt>
            <c:idx val="6"/>
            <c:invertIfNegative val="0"/>
            <c:bubble3D val="0"/>
            <c:spPr>
              <a:solidFill>
                <a:srgbClr val="00B050"/>
              </a:solidFill>
              <a:ln>
                <a:noFill/>
              </a:ln>
              <a:effectLst/>
            </c:spPr>
            <c:extLst>
              <c:ext xmlns:c16="http://schemas.microsoft.com/office/drawing/2014/chart" uri="{C3380CC4-5D6E-409C-BE32-E72D297353CC}">
                <c16:uniqueId val="{00000011-AA95-47A4-828A-A165B01C2F6B}"/>
              </c:ext>
            </c:extLst>
          </c:dPt>
          <c:dPt>
            <c:idx val="8"/>
            <c:invertIfNegative val="0"/>
            <c:bubble3D val="0"/>
            <c:spPr>
              <a:solidFill>
                <a:srgbClr val="00B050"/>
              </a:solidFill>
              <a:ln>
                <a:noFill/>
              </a:ln>
              <a:effectLst/>
            </c:spPr>
            <c:extLst>
              <c:ext xmlns:c16="http://schemas.microsoft.com/office/drawing/2014/chart" uri="{C3380CC4-5D6E-409C-BE32-E72D297353CC}">
                <c16:uniqueId val="{0000000E-5450-4B98-A8BD-15B0B296A4E8}"/>
              </c:ext>
            </c:extLst>
          </c:dPt>
          <c:dPt>
            <c:idx val="9"/>
            <c:invertIfNegative val="0"/>
            <c:bubble3D val="0"/>
            <c:spPr>
              <a:solidFill>
                <a:srgbClr val="FFFF00"/>
              </a:solidFill>
              <a:ln>
                <a:noFill/>
              </a:ln>
              <a:effectLst/>
            </c:spPr>
            <c:extLst>
              <c:ext xmlns:c16="http://schemas.microsoft.com/office/drawing/2014/chart" uri="{C3380CC4-5D6E-409C-BE32-E72D297353CC}">
                <c16:uniqueId val="{0000001A-9D69-49E1-9B47-D465550B4821}"/>
              </c:ext>
            </c:extLst>
          </c:dPt>
          <c:dPt>
            <c:idx val="10"/>
            <c:invertIfNegative val="0"/>
            <c:bubble3D val="0"/>
            <c:spPr>
              <a:solidFill>
                <a:srgbClr val="00B050"/>
              </a:solidFill>
              <a:ln>
                <a:noFill/>
              </a:ln>
              <a:effectLst/>
            </c:spPr>
            <c:extLst>
              <c:ext xmlns:c16="http://schemas.microsoft.com/office/drawing/2014/chart" uri="{C3380CC4-5D6E-409C-BE32-E72D297353CC}">
                <c16:uniqueId val="{00000009-5450-4B98-A8BD-15B0B296A4E8}"/>
              </c:ext>
            </c:extLst>
          </c:dPt>
          <c:dPt>
            <c:idx val="1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8-5450-4B98-A8BD-15B0B296A4E8}"/>
              </c:ext>
            </c:extLst>
          </c:dPt>
          <c:dPt>
            <c:idx val="12"/>
            <c:invertIfNegative val="0"/>
            <c:bubble3D val="0"/>
            <c:spPr>
              <a:solidFill>
                <a:srgbClr val="FFFF00"/>
              </a:solidFill>
              <a:ln>
                <a:noFill/>
              </a:ln>
              <a:effectLst/>
            </c:spPr>
            <c:extLst>
              <c:ext xmlns:c16="http://schemas.microsoft.com/office/drawing/2014/chart" uri="{C3380CC4-5D6E-409C-BE32-E72D297353CC}">
                <c16:uniqueId val="{00000007-5450-4B98-A8BD-15B0B296A4E8}"/>
              </c:ext>
            </c:extLst>
          </c:dPt>
          <c:dPt>
            <c:idx val="1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6-5450-4B98-A8BD-15B0B296A4E8}"/>
              </c:ext>
            </c:extLst>
          </c:dPt>
          <c:dPt>
            <c:idx val="14"/>
            <c:invertIfNegative val="0"/>
            <c:bubble3D val="0"/>
            <c:spPr>
              <a:solidFill>
                <a:srgbClr val="00B050"/>
              </a:solidFill>
              <a:ln>
                <a:noFill/>
              </a:ln>
              <a:effectLst/>
            </c:spPr>
            <c:extLst>
              <c:ext xmlns:c16="http://schemas.microsoft.com/office/drawing/2014/chart" uri="{C3380CC4-5D6E-409C-BE32-E72D297353CC}">
                <c16:uniqueId val="{00000013-2582-495B-BC16-F46AC207DBD7}"/>
              </c:ext>
            </c:extLst>
          </c:dPt>
          <c:dPt>
            <c:idx val="15"/>
            <c:invertIfNegative val="0"/>
            <c:bubble3D val="0"/>
            <c:spPr>
              <a:solidFill>
                <a:srgbClr val="FF0000"/>
              </a:solidFill>
              <a:ln>
                <a:noFill/>
              </a:ln>
              <a:effectLst/>
            </c:spPr>
            <c:extLst>
              <c:ext xmlns:c16="http://schemas.microsoft.com/office/drawing/2014/chart" uri="{C3380CC4-5D6E-409C-BE32-E72D297353CC}">
                <c16:uniqueId val="{00000018-9D69-49E1-9B47-D465550B482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'!$E$37:$E$53</c:f>
              <c:numCache>
                <c:formatCode>0.0%</c:formatCode>
                <c:ptCount val="17"/>
                <c:pt idx="0">
                  <c:v>0.50550379134463475</c:v>
                </c:pt>
                <c:pt idx="1">
                  <c:v>0.29002777777777777</c:v>
                </c:pt>
                <c:pt idx="2">
                  <c:v>0.57440476190476186</c:v>
                </c:pt>
                <c:pt idx="3">
                  <c:v>0.39804672808783126</c:v>
                </c:pt>
                <c:pt idx="4">
                  <c:v>0.54770158822336523</c:v>
                </c:pt>
                <c:pt idx="5">
                  <c:v>0.78257167749089174</c:v>
                </c:pt>
                <c:pt idx="6">
                  <c:v>0.64242424242424245</c:v>
                </c:pt>
                <c:pt idx="7">
                  <c:v>0.7199403239556692</c:v>
                </c:pt>
                <c:pt idx="8">
                  <c:v>0.51906442127773322</c:v>
                </c:pt>
                <c:pt idx="9">
                  <c:v>0.33333333333333331</c:v>
                </c:pt>
                <c:pt idx="10">
                  <c:v>0.77749999999999997</c:v>
                </c:pt>
                <c:pt idx="11">
                  <c:v>0.37258566978193147</c:v>
                </c:pt>
                <c:pt idx="12">
                  <c:v>0.31358053221288518</c:v>
                </c:pt>
                <c:pt idx="13">
                  <c:v>0.43584210526315786</c:v>
                </c:pt>
                <c:pt idx="14">
                  <c:v>0.51470588235294124</c:v>
                </c:pt>
                <c:pt idx="15">
                  <c:v>0.10991495076096687</c:v>
                </c:pt>
                <c:pt idx="16">
                  <c:v>0.75641666666666663</c:v>
                </c:pt>
              </c:numCache>
            </c:numRef>
          </c:val>
          <c:extLst>
            <c:ext xmlns:c16="http://schemas.microsoft.com/office/drawing/2014/chart" uri="{C3380CC4-5D6E-409C-BE32-E72D297353CC}">
              <c16:uniqueId val="{00000000-139D-4160-A9AC-B70E14B4C102}"/>
            </c:ext>
          </c:extLst>
        </c:ser>
        <c:dLbls>
          <c:showLegendKey val="0"/>
          <c:showVal val="0"/>
          <c:showCatName val="0"/>
          <c:showSerName val="0"/>
          <c:showPercent val="0"/>
          <c:showBubbleSize val="0"/>
        </c:dLbls>
        <c:gapWidth val="150"/>
        <c:axId val="429228568"/>
        <c:axId val="429232880"/>
      </c:barChart>
      <c:catAx>
        <c:axId val="429228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9232880"/>
        <c:crosses val="autoZero"/>
        <c:auto val="1"/>
        <c:lblAlgn val="ctr"/>
        <c:lblOffset val="100"/>
        <c:noMultiLvlLbl val="0"/>
      </c:catAx>
      <c:valAx>
        <c:axId val="4292328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3000" b="1"/>
              <a:t>VARIACIÓN</a:t>
            </a:r>
            <a:r>
              <a:rPr lang="es-CO" sz="3000" b="1" baseline="0"/>
              <a:t> DEL AVANCE DEL ACUMULADO PLAN DE DESARROLLO CORTE DE DICIEMBRE 2024  A  31 DICIEMBRE 2025</a:t>
            </a:r>
            <a:endParaRPr lang="es-CO" sz="3000" b="1"/>
          </a:p>
        </c:rich>
      </c:tx>
      <c:layout>
        <c:manualLayout>
          <c:xMode val="edge"/>
          <c:yMode val="edge"/>
          <c:x val="0.11516895459345299"/>
          <c:y val="0"/>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70220921434451E-2"/>
          <c:y val="9.9997178404211226E-2"/>
          <c:w val="0.95448997663570834"/>
          <c:h val="0.72126530936152577"/>
        </c:manualLayout>
      </c:layout>
      <c:bar3DChart>
        <c:barDir val="col"/>
        <c:grouping val="clustered"/>
        <c:varyColors val="0"/>
        <c:ser>
          <c:idx val="0"/>
          <c:order val="0"/>
          <c:tx>
            <c:strRef>
              <c:f>'SEGUIMIENTO DEL PLAN DE DESARRO'!$D$2</c:f>
              <c:strCache>
                <c:ptCount val="1"/>
                <c:pt idx="0">
                  <c:v>AVANCE  CORTE DICIEMBRE  2024 RESPECTO AL CUATRIENIO </c:v>
                </c:pt>
              </c:strCache>
            </c:strRef>
          </c:tx>
          <c:spPr>
            <a:solidFill>
              <a:schemeClr val="accent1"/>
            </a:solidFill>
            <a:ln>
              <a:noFill/>
            </a:ln>
            <a:effectLst/>
            <a:sp3d/>
          </c:spPr>
          <c:invertIfNegative val="0"/>
          <c:dLbls>
            <c:dLbl>
              <c:idx val="0"/>
              <c:layout>
                <c:manualLayout>
                  <c:x val="-5.279831045406547E-3"/>
                  <c:y val="-1.5677491601343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29-4A4C-9E1C-5951C28063E3}"/>
                </c:ext>
              </c:extLst>
            </c:dLbl>
            <c:dLbl>
              <c:idx val="1"/>
              <c:layout>
                <c:manualLayout>
                  <c:x val="-3.167898627243967E-3"/>
                  <c:y val="-1.3437849944008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29-4A4C-9E1C-5951C28063E3}"/>
                </c:ext>
              </c:extLst>
            </c:dLbl>
            <c:dLbl>
              <c:idx val="2"/>
              <c:layout>
                <c:manualLayout>
                  <c:x val="2.1119324181626186E-3"/>
                  <c:y val="-1.3437849944008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9-4A4C-9E1C-5951C28063E3}"/>
                </c:ext>
              </c:extLst>
            </c:dLbl>
            <c:dLbl>
              <c:idx val="3"/>
              <c:layout>
                <c:manualLayout>
                  <c:x val="3.1678986272439284E-3"/>
                  <c:y val="-1.5677491601343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9-4A4C-9E1C-5951C28063E3}"/>
                </c:ext>
              </c:extLst>
            </c:dLbl>
            <c:dLbl>
              <c:idx val="4"/>
              <c:layout>
                <c:manualLayout>
                  <c:x val="0"/>
                  <c:y val="-1.7917133258678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29-4A4C-9E1C-5951C28063E3}"/>
                </c:ext>
              </c:extLst>
            </c:dLbl>
            <c:dLbl>
              <c:idx val="5"/>
              <c:layout>
                <c:manualLayout>
                  <c:x val="3.1678986272439284E-3"/>
                  <c:y val="-1.3437849944008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29-4A4C-9E1C-5951C28063E3}"/>
                </c:ext>
              </c:extLst>
            </c:dLbl>
            <c:dLbl>
              <c:idx val="6"/>
              <c:layout>
                <c:manualLayout>
                  <c:x val="2.1119324181626186E-3"/>
                  <c:y val="-1.7917133258678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29-4A4C-9E1C-5951C28063E3}"/>
                </c:ext>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DESARRO'!$D$3:$D$9</c:f>
              <c:numCache>
                <c:formatCode>0.0%</c:formatCode>
                <c:ptCount val="7"/>
                <c:pt idx="0">
                  <c:v>0.2014</c:v>
                </c:pt>
                <c:pt idx="1">
                  <c:v>0.25472941442069297</c:v>
                </c:pt>
                <c:pt idx="2">
                  <c:v>0.22389547133016827</c:v>
                </c:pt>
                <c:pt idx="3">
                  <c:v>0.23537004965661618</c:v>
                </c:pt>
                <c:pt idx="4">
                  <c:v>0.22160323916687383</c:v>
                </c:pt>
                <c:pt idx="5">
                  <c:v>0.21734598565460142</c:v>
                </c:pt>
                <c:pt idx="6">
                  <c:v>5.5588624338624326E-2</c:v>
                </c:pt>
              </c:numCache>
            </c:numRef>
          </c:val>
          <c:extLst>
            <c:ext xmlns:c16="http://schemas.microsoft.com/office/drawing/2014/chart" uri="{C3380CC4-5D6E-409C-BE32-E72D297353CC}">
              <c16:uniqueId val="{00000008-0429-4A4C-9E1C-5951C28063E3}"/>
            </c:ext>
          </c:extLst>
        </c:ser>
        <c:ser>
          <c:idx val="1"/>
          <c:order val="1"/>
          <c:tx>
            <c:strRef>
              <c:f>'SEGUIMIENTO DEL PLAN DE DESARRO'!$K$2</c:f>
              <c:strCache>
                <c:ptCount val="1"/>
                <c:pt idx="0">
                  <c:v>AVANCE ACUMULADO  CORTE  DICIEMBRE 31 DE 2025 RESPECTO AL CUATRIENIO</c:v>
                </c:pt>
              </c:strCache>
            </c:strRef>
          </c:tx>
          <c:spPr>
            <a:solidFill>
              <a:schemeClr val="accent2"/>
            </a:solidFill>
            <a:ln>
              <a:noFill/>
            </a:ln>
            <a:effectLst/>
            <a:sp3d/>
          </c:spPr>
          <c:invertIfNegative val="0"/>
          <c:dLbls>
            <c:dLbl>
              <c:idx val="0"/>
              <c:layout>
                <c:manualLayout>
                  <c:x val="1.5839493136219622E-2"/>
                  <c:y val="-1.567749160134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29-4A4C-9E1C-5951C28063E3}"/>
                </c:ext>
              </c:extLst>
            </c:dLbl>
            <c:dLbl>
              <c:idx val="1"/>
              <c:layout>
                <c:manualLayout>
                  <c:x val="1.4783526927138293E-2"/>
                  <c:y val="-6.7189249720044789E-3"/>
                </c:manualLayout>
              </c:layout>
              <c:spPr>
                <a:noFill/>
                <a:ln>
                  <a:noFill/>
                </a:ln>
                <a:effectLst/>
              </c:spPr>
              <c:txPr>
                <a:bodyPr rot="0" spcFirstLastPara="1" vertOverflow="ellipsis" vert="horz" wrap="square" lIns="38100" tIns="19050" rIns="38100" bIns="19050" anchor="ctr" anchorCtr="1">
                  <a:noAutofit/>
                </a:bodyPr>
                <a:lstStyle/>
                <a:p>
                  <a:pPr>
                    <a:defRPr sz="3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4.3400211193241819E-2"/>
                      <c:h val="4.723404255319149E-2"/>
                    </c:manualLayout>
                  </c15:layout>
                </c:ext>
                <c:ext xmlns:c16="http://schemas.microsoft.com/office/drawing/2014/chart" uri="{C3380CC4-5D6E-409C-BE32-E72D297353CC}">
                  <c16:uniqueId val="{0000000B-0429-4A4C-9E1C-5951C28063E3}"/>
                </c:ext>
              </c:extLst>
            </c:dLbl>
            <c:dLbl>
              <c:idx val="2"/>
              <c:layout>
                <c:manualLayout>
                  <c:x val="4.0232454179704958E-3"/>
                  <c:y val="-2.0812685827552049E-2"/>
                </c:manualLayout>
              </c:layout>
              <c:spPr>
                <a:noFill/>
                <a:ln>
                  <a:noFill/>
                </a:ln>
                <a:effectLst/>
              </c:spPr>
              <c:txPr>
                <a:bodyPr rot="0" spcFirstLastPara="1" vertOverflow="ellipsis" vert="horz" wrap="square" lIns="38100" tIns="19050" rIns="38100" bIns="19050" anchor="ctr" anchorCtr="1">
                  <a:noAutofit/>
                </a:bodyPr>
                <a:lstStyle/>
                <a:p>
                  <a:pPr>
                    <a:defRPr sz="3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0429-4A4C-9E1C-5951C28063E3}"/>
                </c:ext>
              </c:extLst>
            </c:dLbl>
            <c:dLbl>
              <c:idx val="3"/>
              <c:layout>
                <c:manualLayout>
                  <c:x val="1.1615628299894404E-2"/>
                  <c:y val="-1.3437849944008958E-2"/>
                </c:manualLayout>
              </c:layout>
              <c:spPr>
                <a:noFill/>
                <a:ln>
                  <a:noFill/>
                </a:ln>
                <a:effectLst/>
              </c:spPr>
              <c:txPr>
                <a:bodyPr rot="0" spcFirstLastPara="1" vertOverflow="ellipsis" vert="horz" wrap="square" lIns="38100" tIns="19050" rIns="38100" bIns="19050" anchor="ctr" anchorCtr="1">
                  <a:noAutofit/>
                </a:bodyPr>
                <a:lstStyle/>
                <a:p>
                  <a:pPr>
                    <a:defRPr sz="3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4.0232312565997887E-2"/>
                      <c:h val="4.6114221724524083E-2"/>
                    </c:manualLayout>
                  </c15:layout>
                </c:ext>
                <c:ext xmlns:c16="http://schemas.microsoft.com/office/drawing/2014/chart" uri="{C3380CC4-5D6E-409C-BE32-E72D297353CC}">
                  <c16:uniqueId val="{0000000D-0429-4A4C-9E1C-5951C28063E3}"/>
                </c:ext>
              </c:extLst>
            </c:dLbl>
            <c:dLbl>
              <c:idx val="4"/>
              <c:layout>
                <c:manualLayout>
                  <c:x val="1.2671594508975714E-2"/>
                  <c:y val="-1.5677491601343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429-4A4C-9E1C-5951C28063E3}"/>
                </c:ext>
              </c:extLst>
            </c:dLbl>
            <c:dLbl>
              <c:idx val="5"/>
              <c:layout>
                <c:manualLayout>
                  <c:x val="8.4477296726503202E-3"/>
                  <c:y val="-2.4636058230683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29-4A4C-9E1C-5951C28063E3}"/>
                </c:ext>
              </c:extLst>
            </c:dLbl>
            <c:dLbl>
              <c:idx val="6"/>
              <c:layout>
                <c:manualLayout>
                  <c:x val="1.6895459345300949E-2"/>
                  <c:y val="-2.2396416573348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429-4A4C-9E1C-5951C28063E3}"/>
                </c:ext>
              </c:extLst>
            </c:dLbl>
            <c:spPr>
              <a:noFill/>
              <a:ln>
                <a:noFill/>
              </a:ln>
              <a:effectLst/>
            </c:spPr>
            <c:txPr>
              <a:bodyPr rot="0" spcFirstLastPara="1" vertOverflow="ellipsis" vert="horz" wrap="square" lIns="38100" tIns="19050" rIns="38100" bIns="19050" anchor="ctr" anchorCtr="1">
                <a:spAutoFit/>
              </a:bodyPr>
              <a:lstStyle/>
              <a:p>
                <a:pPr>
                  <a:defRPr sz="3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formatCode="0.00%">
                  <c:v>0.4849477038031102</c:v>
                </c:pt>
                <c:pt idx="1">
                  <c:v>0.52039961510956811</c:v>
                </c:pt>
                <c:pt idx="2">
                  <c:v>0.5127485650474547</c:v>
                </c:pt>
                <c:pt idx="3">
                  <c:v>0.48812060511247513</c:v>
                </c:pt>
                <c:pt idx="4">
                  <c:v>0.48114752787939219</c:v>
                </c:pt>
                <c:pt idx="5">
                  <c:v>0.54534437455673601</c:v>
                </c:pt>
                <c:pt idx="6">
                  <c:v>0.36192553511303516</c:v>
                </c:pt>
              </c:numCache>
            </c:numRef>
          </c:val>
          <c:extLst>
            <c:ext xmlns:c16="http://schemas.microsoft.com/office/drawing/2014/chart" uri="{C3380CC4-5D6E-409C-BE32-E72D297353CC}">
              <c16:uniqueId val="{00000011-0429-4A4C-9E1C-5951C28063E3}"/>
            </c:ext>
          </c:extLst>
        </c:ser>
        <c:dLbls>
          <c:showLegendKey val="0"/>
          <c:showVal val="0"/>
          <c:showCatName val="0"/>
          <c:showSerName val="0"/>
          <c:showPercent val="0"/>
          <c:showBubbleSize val="0"/>
        </c:dLbls>
        <c:gapWidth val="150"/>
        <c:shape val="box"/>
        <c:axId val="971336000"/>
        <c:axId val="971336416"/>
        <c:axId val="0"/>
      </c:bar3DChart>
      <c:catAx>
        <c:axId val="9713360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71336416"/>
        <c:crosses val="autoZero"/>
        <c:auto val="1"/>
        <c:lblAlgn val="ctr"/>
        <c:lblOffset val="100"/>
        <c:noMultiLvlLbl val="0"/>
      </c:catAx>
      <c:valAx>
        <c:axId val="971336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71336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AVANCE</a:t>
            </a:r>
            <a:r>
              <a:rPr lang="en-US" sz="1300" b="1" baseline="0"/>
              <a:t>  CUATRIENIO COMPONENTE IMPULSOR  ACCESO A </a:t>
            </a:r>
            <a:r>
              <a:rPr lang="en-US" sz="1300" b="1" i="0" u="none" strike="noStrike" kern="1200" spc="0" baseline="0">
                <a:solidFill>
                  <a:srgbClr val="000000">
                    <a:lumMod val="65000"/>
                    <a:lumOff val="35000"/>
                  </a:srgbClr>
                </a:solidFill>
                <a:latin typeface="+mn-lt"/>
                <a:ea typeface="+mn-ea"/>
                <a:cs typeface="+mn-cs"/>
              </a:rPr>
              <a:t>SERVICIOS PUBLICOS. PROGRAMAS.  </a:t>
            </a:r>
            <a:r>
              <a:rPr lang="es-ES" sz="1300" b="1" i="0" u="none" strike="noStrike" kern="1200" spc="0" baseline="0">
                <a:solidFill>
                  <a:srgbClr val="000000">
                    <a:lumMod val="65000"/>
                    <a:lumOff val="35000"/>
                  </a:srgbClr>
                </a:solidFill>
                <a:latin typeface="+mn-lt"/>
                <a:ea typeface="+mn-ea"/>
                <a:cs typeface="+mn-cs"/>
              </a:rPr>
              <a:t>CORTE </a:t>
            </a:r>
            <a:r>
              <a:rPr lang="es-CO" sz="1300" b="1" i="0" u="none" strike="noStrike" kern="1200" spc="0" baseline="0">
                <a:solidFill>
                  <a:srgbClr val="000000">
                    <a:lumMod val="65000"/>
                    <a:lumOff val="35000"/>
                  </a:srgbClr>
                </a:solidFill>
                <a:latin typeface="+mn-lt"/>
                <a:ea typeface="+mn-ea"/>
                <a:cs typeface="+mn-cs"/>
              </a:rPr>
              <a:t>31 DE DICIEMBRE DE 2025</a:t>
            </a:r>
          </a:p>
        </c:rich>
      </c:tx>
      <c:layout>
        <c:manualLayout>
          <c:xMode val="edge"/>
          <c:yMode val="edge"/>
          <c:x val="0.13047067755385466"/>
          <c:y val="2.4769992922859165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'!$E$56</c:f>
              <c:strCache>
                <c:ptCount val="1"/>
                <c:pt idx="0">
                  <c:v>AVANCE CUATRIENIO COMPONENTE IMPULSOR ACCESO A SERVICIOS BÁSICOS CORTE 31 DE DICIEMBRE DE 2025</c:v>
                </c:pt>
              </c:strCache>
            </c:strRef>
          </c:tx>
          <c:spPr>
            <a:solidFill>
              <a:srgbClr val="FF9999"/>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6-13D1-4FF5-AF58-A27ADD590D3C}"/>
              </c:ext>
            </c:extLst>
          </c:dPt>
          <c:dPt>
            <c:idx val="1"/>
            <c:invertIfNegative val="0"/>
            <c:bubble3D val="0"/>
            <c:spPr>
              <a:solidFill>
                <a:srgbClr val="00B050"/>
              </a:solidFill>
              <a:ln>
                <a:noFill/>
              </a:ln>
              <a:effectLst/>
            </c:spPr>
            <c:extLst>
              <c:ext xmlns:c16="http://schemas.microsoft.com/office/drawing/2014/chart" uri="{C3380CC4-5D6E-409C-BE32-E72D297353CC}">
                <c16:uniqueId val="{00000007-30C4-4C3A-BC19-7EEEB7224114}"/>
              </c:ext>
            </c:extLst>
          </c:dPt>
          <c:dPt>
            <c:idx val="2"/>
            <c:invertIfNegative val="0"/>
            <c:bubble3D val="0"/>
            <c:spPr>
              <a:solidFill>
                <a:srgbClr val="FFFF00"/>
              </a:solidFill>
              <a:ln>
                <a:noFill/>
              </a:ln>
              <a:effectLst/>
            </c:spPr>
            <c:extLst>
              <c:ext xmlns:c16="http://schemas.microsoft.com/office/drawing/2014/chart" uri="{C3380CC4-5D6E-409C-BE32-E72D297353CC}">
                <c16:uniqueId val="{00000000-30C4-4C3A-BC19-7EEEB7224114}"/>
              </c:ext>
            </c:extLst>
          </c:dPt>
          <c:dPt>
            <c:idx val="3"/>
            <c:invertIfNegative val="0"/>
            <c:bubble3D val="0"/>
            <c:spPr>
              <a:solidFill>
                <a:srgbClr val="FFFF00"/>
              </a:solidFill>
              <a:ln>
                <a:noFill/>
              </a:ln>
              <a:effectLst/>
            </c:spPr>
            <c:extLst>
              <c:ext xmlns:c16="http://schemas.microsoft.com/office/drawing/2014/chart" uri="{C3380CC4-5D6E-409C-BE32-E72D297353CC}">
                <c16:uniqueId val="{00000001-30C4-4C3A-BC19-7EEEB722411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'!$E$57:$E$60</c:f>
              <c:numCache>
                <c:formatCode>0.0%</c:formatCode>
                <c:ptCount val="4"/>
                <c:pt idx="0">
                  <c:v>0.36954161861032914</c:v>
                </c:pt>
                <c:pt idx="1">
                  <c:v>0.49420600662463821</c:v>
                </c:pt>
                <c:pt idx="2">
                  <c:v>0.28676190476190477</c:v>
                </c:pt>
                <c:pt idx="3">
                  <c:v>0.32765694444444443</c:v>
                </c:pt>
              </c:numCache>
            </c:numRef>
          </c:val>
          <c:extLst>
            <c:ext xmlns:c16="http://schemas.microsoft.com/office/drawing/2014/chart" uri="{C3380CC4-5D6E-409C-BE32-E72D297353CC}">
              <c16:uniqueId val="{00000000-6A34-4525-A784-9F1816FBD9AF}"/>
            </c:ext>
          </c:extLst>
        </c:ser>
        <c:dLbls>
          <c:showLegendKey val="0"/>
          <c:showVal val="0"/>
          <c:showCatName val="0"/>
          <c:showSerName val="0"/>
          <c:showPercent val="0"/>
          <c:showBubbleSize val="0"/>
        </c:dLbls>
        <c:gapWidth val="219"/>
        <c:overlap val="-27"/>
        <c:axId val="429225824"/>
        <c:axId val="429226608"/>
      </c:barChart>
      <c:catAx>
        <c:axId val="42922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29226608"/>
        <c:crosses val="autoZero"/>
        <c:auto val="1"/>
        <c:lblAlgn val="ctr"/>
        <c:lblOffset val="100"/>
        <c:noMultiLvlLbl val="0"/>
      </c:catAx>
      <c:valAx>
        <c:axId val="42922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5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rgbClr val="000000">
                    <a:lumMod val="65000"/>
                    <a:lumOff val="35000"/>
                  </a:srgbClr>
                </a:solidFill>
                <a:latin typeface="+mn-lt"/>
                <a:ea typeface="+mn-ea"/>
                <a:cs typeface="+mn-cs"/>
              </a:defRPr>
            </a:pPr>
            <a:r>
              <a:rPr lang="en-US" sz="1300" b="1" i="0" u="none" strike="noStrike" baseline="0">
                <a:effectLst/>
              </a:rPr>
              <a:t>AVANCE CUATRIENIO COMPONENTE </a:t>
            </a:r>
            <a:r>
              <a:rPr lang="en-US" sz="1300" b="1" i="0" baseline="0">
                <a:effectLst/>
              </a:rPr>
              <a:t>ARTE, CULTURA Y </a:t>
            </a:r>
            <a:r>
              <a:rPr lang="en-US" sz="1300" b="1" i="0" u="none" strike="noStrike" kern="1200" spc="0" baseline="0">
                <a:solidFill>
                  <a:srgbClr val="000000">
                    <a:lumMod val="65000"/>
                    <a:lumOff val="35000"/>
                  </a:srgbClr>
                </a:solidFill>
                <a:effectLst/>
                <a:latin typeface="+mn-lt"/>
                <a:ea typeface="+mn-ea"/>
                <a:cs typeface="+mn-cs"/>
              </a:rPr>
              <a:t>PATRIMONIO. PROGRAMAS  CORTE </a:t>
            </a:r>
            <a:r>
              <a:rPr lang="es-CO" sz="1300" b="1" i="0" u="none" strike="noStrike" kern="1200" spc="0" baseline="0">
                <a:solidFill>
                  <a:srgbClr val="000000">
                    <a:lumMod val="65000"/>
                    <a:lumOff val="35000"/>
                  </a:srgbClr>
                </a:solidFill>
                <a:effectLst/>
                <a:latin typeface="+mn-lt"/>
                <a:ea typeface="+mn-ea"/>
                <a:cs typeface="+mn-cs"/>
              </a:rPr>
              <a:t>31 DE DICIEMBRE DE 2025</a:t>
            </a:r>
          </a:p>
          <a:p>
            <a:pPr marL="0" marR="0" indent="0" algn="ctr" defTabSz="914400" rtl="0" eaLnBrk="1" fontAlgn="auto" latinLnBrk="0" hangingPunct="1">
              <a:lnSpc>
                <a:spcPct val="100000"/>
              </a:lnSpc>
              <a:spcBef>
                <a:spcPts val="0"/>
              </a:spcBef>
              <a:spcAft>
                <a:spcPts val="0"/>
              </a:spcAft>
              <a:buClrTx/>
              <a:buSzTx/>
              <a:buFontTx/>
              <a:buNone/>
              <a:tabLst/>
              <a:defRPr sz="1300">
                <a:solidFill>
                  <a:srgbClr val="000000">
                    <a:lumMod val="65000"/>
                    <a:lumOff val="35000"/>
                  </a:srgbClr>
                </a:solidFill>
              </a:defRPr>
            </a:pPr>
            <a:endParaRPr lang="es-CO"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'!$E$80</c:f>
              <c:strCache>
                <c:ptCount val="1"/>
                <c:pt idx="0">
                  <c:v>AVANCE CUATRIENIO COMPONENTE IMPULSOR ARTES, CULTURA Y PATRIMONIO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9-20FB-4BEC-94A6-5CFA2E6DBC77}"/>
              </c:ext>
            </c:extLst>
          </c:dPt>
          <c:dPt>
            <c:idx val="1"/>
            <c:invertIfNegative val="0"/>
            <c:bubble3D val="0"/>
            <c:spPr>
              <a:solidFill>
                <a:srgbClr val="00B050"/>
              </a:solidFill>
              <a:ln>
                <a:noFill/>
              </a:ln>
              <a:effectLst/>
            </c:spPr>
            <c:extLst>
              <c:ext xmlns:c16="http://schemas.microsoft.com/office/drawing/2014/chart" uri="{C3380CC4-5D6E-409C-BE32-E72D297353CC}">
                <c16:uniqueId val="{00000000-85B9-4B87-B847-6BBD71B203E8}"/>
              </c:ext>
            </c:extLst>
          </c:dPt>
          <c:dPt>
            <c:idx val="2"/>
            <c:invertIfNegative val="0"/>
            <c:bubble3D val="0"/>
            <c:spPr>
              <a:solidFill>
                <a:srgbClr val="00B050"/>
              </a:solidFill>
              <a:ln>
                <a:noFill/>
              </a:ln>
              <a:effectLst/>
            </c:spPr>
            <c:extLst>
              <c:ext xmlns:c16="http://schemas.microsoft.com/office/drawing/2014/chart" uri="{C3380CC4-5D6E-409C-BE32-E72D297353CC}">
                <c16:uniqueId val="{00000001-85B9-4B87-B847-6BBD71B203E8}"/>
              </c:ext>
            </c:extLst>
          </c:dPt>
          <c:dPt>
            <c:idx val="3"/>
            <c:invertIfNegative val="0"/>
            <c:bubble3D val="0"/>
            <c:spPr>
              <a:solidFill>
                <a:srgbClr val="00B050"/>
              </a:solidFill>
              <a:ln>
                <a:noFill/>
              </a:ln>
              <a:effectLst/>
            </c:spPr>
            <c:extLst>
              <c:ext xmlns:c16="http://schemas.microsoft.com/office/drawing/2014/chart" uri="{C3380CC4-5D6E-409C-BE32-E72D297353CC}">
                <c16:uniqueId val="{00000003-85B9-4B87-B847-6BBD71B203E8}"/>
              </c:ext>
            </c:extLst>
          </c:dPt>
          <c:dPt>
            <c:idx val="4"/>
            <c:invertIfNegative val="0"/>
            <c:bubble3D val="0"/>
            <c:spPr>
              <a:solidFill>
                <a:srgbClr val="00B050"/>
              </a:solidFill>
              <a:ln>
                <a:noFill/>
              </a:ln>
              <a:effectLst/>
            </c:spPr>
            <c:extLst>
              <c:ext xmlns:c16="http://schemas.microsoft.com/office/drawing/2014/chart" uri="{C3380CC4-5D6E-409C-BE32-E72D297353CC}">
                <c16:uniqueId val="{0000000A-9D28-4586-8F55-3EE5A4543604}"/>
              </c:ext>
            </c:extLst>
          </c:dPt>
          <c:dPt>
            <c:idx val="5"/>
            <c:invertIfNegative val="0"/>
            <c:bubble3D val="0"/>
            <c:spPr>
              <a:solidFill>
                <a:srgbClr val="00B050"/>
              </a:solidFill>
              <a:ln>
                <a:noFill/>
              </a:ln>
              <a:effectLst/>
            </c:spPr>
            <c:extLst>
              <c:ext xmlns:c16="http://schemas.microsoft.com/office/drawing/2014/chart" uri="{C3380CC4-5D6E-409C-BE32-E72D297353CC}">
                <c16:uniqueId val="{00000004-85B9-4B87-B847-6BBD71B203E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'!$E$81:$E$86</c:f>
              <c:numCache>
                <c:formatCode>0.0%</c:formatCode>
                <c:ptCount val="6"/>
                <c:pt idx="0">
                  <c:v>0.67944991280412703</c:v>
                </c:pt>
                <c:pt idx="1">
                  <c:v>0.58670067513174595</c:v>
                </c:pt>
                <c:pt idx="2">
                  <c:v>0.98750000000000004</c:v>
                </c:pt>
                <c:pt idx="3">
                  <c:v>0.67138888888888892</c:v>
                </c:pt>
                <c:pt idx="4">
                  <c:v>0.64</c:v>
                </c:pt>
                <c:pt idx="5">
                  <c:v>0.51166</c:v>
                </c:pt>
              </c:numCache>
            </c:numRef>
          </c:val>
          <c:extLst>
            <c:ext xmlns:c16="http://schemas.microsoft.com/office/drawing/2014/chart" uri="{C3380CC4-5D6E-409C-BE32-E72D297353CC}">
              <c16:uniqueId val="{00000000-D08C-4FA2-9CE3-FA0B74F401AC}"/>
            </c:ext>
          </c:extLst>
        </c:ser>
        <c:dLbls>
          <c:showLegendKey val="0"/>
          <c:showVal val="0"/>
          <c:showCatName val="0"/>
          <c:showSerName val="0"/>
          <c:showPercent val="0"/>
          <c:showBubbleSize val="0"/>
        </c:dLbls>
        <c:gapWidth val="219"/>
        <c:overlap val="-27"/>
        <c:axId val="429228960"/>
        <c:axId val="429228176"/>
      </c:barChart>
      <c:catAx>
        <c:axId val="42922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176"/>
        <c:crosses val="autoZero"/>
        <c:auto val="1"/>
        <c:lblAlgn val="ctr"/>
        <c:lblOffset val="100"/>
        <c:noMultiLvlLbl val="0"/>
      </c:catAx>
      <c:valAx>
        <c:axId val="429228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300" b="1" i="0" baseline="0">
                <a:effectLst/>
              </a:rPr>
              <a:t>AVANCE CUATRIENIO COMPONENTE DEPORTE Y RECREACIÓN. PROGRAMAS  </a:t>
            </a:r>
            <a:r>
              <a:rPr lang="en-US" sz="1300" b="1" i="0" u="none" strike="noStrike" kern="1200" spc="0" baseline="0">
                <a:solidFill>
                  <a:srgbClr val="000000">
                    <a:lumMod val="65000"/>
                    <a:lumOff val="35000"/>
                  </a:srgbClr>
                </a:solidFill>
                <a:effectLst/>
                <a:latin typeface="+mn-lt"/>
                <a:ea typeface="+mn-ea"/>
                <a:cs typeface="+mn-cs"/>
              </a:rPr>
              <a:t>CORTE </a:t>
            </a:r>
            <a:r>
              <a:rPr lang="es-CO" sz="1300" b="1" i="0" u="none" strike="noStrike" kern="1200" spc="0" baseline="0">
                <a:solidFill>
                  <a:srgbClr val="000000">
                    <a:lumMod val="65000"/>
                    <a:lumOff val="35000"/>
                  </a:srgbClr>
                </a:solidFill>
                <a:effectLst/>
                <a:latin typeface="+mn-lt"/>
                <a:ea typeface="+mn-ea"/>
                <a:cs typeface="+mn-cs"/>
              </a:rPr>
              <a:t>31 DE DICIEMBRE DE 2025</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300" b="1" i="0" u="none" strike="noStrike" kern="1200" spc="0" baseline="0">
              <a:solidFill>
                <a:srgbClr val="000000">
                  <a:lumMod val="65000"/>
                  <a:lumOff val="35000"/>
                </a:srgb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'!$E$91</c:f>
              <c:strCache>
                <c:ptCount val="1"/>
                <c:pt idx="0">
                  <c:v>AVANCE CUATRIENIO COMPONENTE IMPULSOR DEPORTES Y RECREACIÓN  CORTE 31 DE DICIEMBRE DE 2025</c:v>
                </c:pt>
              </c:strCache>
            </c:strRef>
          </c:tx>
          <c:spPr>
            <a:solidFill>
              <a:srgbClr val="92D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7-498C-4D3B-B41A-331DB9A42BAB}"/>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0-9D77-4304-A26A-D422752F9572}"/>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9D77-4304-A26A-D422752F9572}"/>
              </c:ext>
            </c:extLst>
          </c:dPt>
          <c:dPt>
            <c:idx val="3"/>
            <c:invertIfNegative val="0"/>
            <c:bubble3D val="0"/>
            <c:spPr>
              <a:solidFill>
                <a:srgbClr val="00B050"/>
              </a:solidFill>
              <a:ln>
                <a:noFill/>
              </a:ln>
              <a:effectLst/>
            </c:spPr>
            <c:extLst>
              <c:ext xmlns:c16="http://schemas.microsoft.com/office/drawing/2014/chart" uri="{C3380CC4-5D6E-409C-BE32-E72D297353CC}">
                <c16:uniqueId val="{0000000E-C190-469F-9EDD-EDDC46617875}"/>
              </c:ext>
            </c:extLst>
          </c:dPt>
          <c:dPt>
            <c:idx val="4"/>
            <c:invertIfNegative val="0"/>
            <c:bubble3D val="0"/>
            <c:spPr>
              <a:solidFill>
                <a:srgbClr val="00B050"/>
              </a:solidFill>
              <a:ln>
                <a:noFill/>
              </a:ln>
              <a:effectLst/>
            </c:spPr>
            <c:extLst>
              <c:ext xmlns:c16="http://schemas.microsoft.com/office/drawing/2014/chart" uri="{C3380CC4-5D6E-409C-BE32-E72D297353CC}">
                <c16:uniqueId val="{0000000B-D6B6-4AC1-AC7B-C2F8F77AFFA9}"/>
              </c:ext>
            </c:extLst>
          </c:dPt>
          <c:dPt>
            <c:idx val="5"/>
            <c:invertIfNegative val="0"/>
            <c:bubble3D val="0"/>
            <c:spPr>
              <a:solidFill>
                <a:srgbClr val="00B050"/>
              </a:solidFill>
              <a:ln>
                <a:noFill/>
              </a:ln>
              <a:effectLst/>
            </c:spPr>
            <c:extLst>
              <c:ext xmlns:c16="http://schemas.microsoft.com/office/drawing/2014/chart" uri="{C3380CC4-5D6E-409C-BE32-E72D297353CC}">
                <c16:uniqueId val="{0000000A-9D77-4304-A26A-D422752F9572}"/>
              </c:ext>
            </c:extLst>
          </c:dPt>
          <c:dPt>
            <c:idx val="6"/>
            <c:invertIfNegative val="0"/>
            <c:bubble3D val="0"/>
            <c:spPr>
              <a:solidFill>
                <a:srgbClr val="00B050"/>
              </a:solidFill>
              <a:ln>
                <a:noFill/>
              </a:ln>
              <a:effectLst/>
            </c:spPr>
            <c:extLst>
              <c:ext xmlns:c16="http://schemas.microsoft.com/office/drawing/2014/chart" uri="{C3380CC4-5D6E-409C-BE32-E72D297353CC}">
                <c16:uniqueId val="{0000000C-D6B6-4AC1-AC7B-C2F8F77AFFA9}"/>
              </c:ext>
            </c:extLst>
          </c:dPt>
          <c:dPt>
            <c:idx val="7"/>
            <c:invertIfNegative val="0"/>
            <c:bubble3D val="0"/>
            <c:spPr>
              <a:solidFill>
                <a:srgbClr val="00B050"/>
              </a:solidFill>
              <a:ln>
                <a:noFill/>
              </a:ln>
              <a:effectLst/>
            </c:spPr>
            <c:extLst>
              <c:ext xmlns:c16="http://schemas.microsoft.com/office/drawing/2014/chart" uri="{C3380CC4-5D6E-409C-BE32-E72D297353CC}">
                <c16:uniqueId val="{00000008-498C-4D3B-B41A-331DB9A42BA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'!$E$92:$E$99</c:f>
              <c:numCache>
                <c:formatCode>0.0%</c:formatCode>
                <c:ptCount val="8"/>
                <c:pt idx="0">
                  <c:v>0.58130025930285478</c:v>
                </c:pt>
                <c:pt idx="1">
                  <c:v>0.41416666666666668</c:v>
                </c:pt>
                <c:pt idx="2">
                  <c:v>0.36217424911660778</c:v>
                </c:pt>
                <c:pt idx="3">
                  <c:v>0.58266666666666667</c:v>
                </c:pt>
                <c:pt idx="4">
                  <c:v>0.70765785358919697</c:v>
                </c:pt>
                <c:pt idx="5">
                  <c:v>0.48642622950819669</c:v>
                </c:pt>
                <c:pt idx="6">
                  <c:v>0.69670694444444448</c:v>
                </c:pt>
                <c:pt idx="7">
                  <c:v>0.81930320512820509</c:v>
                </c:pt>
              </c:numCache>
            </c:numRef>
          </c:val>
          <c:extLst>
            <c:ext xmlns:c16="http://schemas.microsoft.com/office/drawing/2014/chart" uri="{C3380CC4-5D6E-409C-BE32-E72D297353CC}">
              <c16:uniqueId val="{00000000-415B-405C-8F3C-BDCFA20D334C}"/>
            </c:ext>
          </c:extLst>
        </c:ser>
        <c:dLbls>
          <c:showLegendKey val="0"/>
          <c:showVal val="0"/>
          <c:showCatName val="0"/>
          <c:showSerName val="0"/>
          <c:showPercent val="0"/>
          <c:showBubbleSize val="0"/>
        </c:dLbls>
        <c:gapWidth val="219"/>
        <c:overlap val="-27"/>
        <c:axId val="429230136"/>
        <c:axId val="429231704"/>
      </c:barChart>
      <c:catAx>
        <c:axId val="42923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es-CO"/>
          </a:p>
        </c:txPr>
        <c:crossAx val="429231704"/>
        <c:crosses val="autoZero"/>
        <c:auto val="1"/>
        <c:lblAlgn val="ctr"/>
        <c:lblOffset val="100"/>
        <c:noMultiLvlLbl val="0"/>
      </c:catAx>
      <c:valAx>
        <c:axId val="429231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300" b="1" i="0" baseline="0">
                <a:effectLst/>
              </a:rPr>
              <a:t>AVANCE CUATRIENIO COMPONENTE INFANCIA, </a:t>
            </a:r>
            <a:r>
              <a:rPr lang="en-US" sz="1300" b="1" i="0" u="none" strike="noStrike" kern="1200" spc="0" baseline="0">
                <a:solidFill>
                  <a:srgbClr val="000000">
                    <a:lumMod val="65000"/>
                    <a:lumOff val="35000"/>
                  </a:srgbClr>
                </a:solidFill>
                <a:effectLst/>
                <a:latin typeface="+mn-lt"/>
                <a:ea typeface="+mn-ea"/>
                <a:cs typeface="+mn-cs"/>
              </a:rPr>
              <a:t>ADOLESCENCIA Y FAMILIA. PROGRAMAS  CORTE </a:t>
            </a:r>
            <a:r>
              <a:rPr lang="es-CO" sz="1300" b="1" i="0" u="none" strike="noStrike" kern="1200" spc="0" baseline="0">
                <a:solidFill>
                  <a:srgbClr val="000000">
                    <a:lumMod val="65000"/>
                    <a:lumOff val="35000"/>
                  </a:srgbClr>
                </a:solidFill>
                <a:effectLst/>
                <a:latin typeface="+mn-lt"/>
                <a:ea typeface="+mn-ea"/>
                <a:cs typeface="+mn-cs"/>
              </a:rPr>
              <a:t>31 DE DICIEMBRE DE 2025</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300" b="1" i="0" u="none" strike="noStrike" kern="1200" spc="0" baseline="0">
              <a:solidFill>
                <a:srgbClr val="000000">
                  <a:lumMod val="65000"/>
                  <a:lumOff val="35000"/>
                </a:srgb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'!$E$102</c:f>
              <c:strCache>
                <c:ptCount val="1"/>
                <c:pt idx="0">
                  <c:v>AVANCE CUATRIENIO COMPONENTE IMPULSOR INFANCIA, ADOLESCENCIA Y FAMILIA CORTE 31 DE DICIEMBRE DE 2025</c:v>
                </c:pt>
              </c:strCache>
            </c:strRef>
          </c:tx>
          <c:spPr>
            <a:solidFill>
              <a:srgbClr val="92D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9E53-47C8-98AF-0D9B9361684E}"/>
              </c:ext>
            </c:extLst>
          </c:dPt>
          <c:dPt>
            <c:idx val="1"/>
            <c:invertIfNegative val="0"/>
            <c:bubble3D val="0"/>
            <c:spPr>
              <a:solidFill>
                <a:srgbClr val="00B050"/>
              </a:solidFill>
              <a:ln>
                <a:noFill/>
              </a:ln>
              <a:effectLst/>
            </c:spPr>
            <c:extLst>
              <c:ext xmlns:c16="http://schemas.microsoft.com/office/drawing/2014/chart" uri="{C3380CC4-5D6E-409C-BE32-E72D297353CC}">
                <c16:uniqueId val="{00000001-9FAB-42EB-8BFD-5CF982300727}"/>
              </c:ext>
            </c:extLst>
          </c:dPt>
          <c:dPt>
            <c:idx val="2"/>
            <c:invertIfNegative val="0"/>
            <c:bubble3D val="0"/>
            <c:spPr>
              <a:solidFill>
                <a:srgbClr val="00B050"/>
              </a:solidFill>
              <a:ln>
                <a:noFill/>
              </a:ln>
              <a:effectLst/>
            </c:spPr>
            <c:extLst>
              <c:ext xmlns:c16="http://schemas.microsoft.com/office/drawing/2014/chart" uri="{C3380CC4-5D6E-409C-BE32-E72D297353CC}">
                <c16:uniqueId val="{00000003-9FAB-42EB-8BFD-5CF982300727}"/>
              </c:ext>
            </c:extLst>
          </c:dPt>
          <c:dPt>
            <c:idx val="3"/>
            <c:invertIfNegative val="0"/>
            <c:bubble3D val="0"/>
            <c:spPr>
              <a:solidFill>
                <a:srgbClr val="00B050"/>
              </a:solidFill>
              <a:ln>
                <a:noFill/>
              </a:ln>
              <a:effectLst/>
            </c:spPr>
            <c:extLst>
              <c:ext xmlns:c16="http://schemas.microsoft.com/office/drawing/2014/chart" uri="{C3380CC4-5D6E-409C-BE32-E72D297353CC}">
                <c16:uniqueId val="{00000005-76E5-4F25-B535-82B6F7F5AD5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'!$E$103:$E$106</c:f>
              <c:numCache>
                <c:formatCode>0.0%</c:formatCode>
                <c:ptCount val="4"/>
                <c:pt idx="0">
                  <c:v>0.70093698469337029</c:v>
                </c:pt>
                <c:pt idx="1">
                  <c:v>0.67886083762048366</c:v>
                </c:pt>
                <c:pt idx="2">
                  <c:v>0.57819097222222227</c:v>
                </c:pt>
                <c:pt idx="3">
                  <c:v>0.84575914423740506</c:v>
                </c:pt>
              </c:numCache>
            </c:numRef>
          </c:val>
          <c:extLst>
            <c:ext xmlns:c16="http://schemas.microsoft.com/office/drawing/2014/chart" uri="{C3380CC4-5D6E-409C-BE32-E72D297353CC}">
              <c16:uniqueId val="{00000000-70B6-4803-9D07-7841283B20C7}"/>
            </c:ext>
          </c:extLst>
        </c:ser>
        <c:dLbls>
          <c:showLegendKey val="0"/>
          <c:showVal val="0"/>
          <c:showCatName val="0"/>
          <c:showSerName val="0"/>
          <c:showPercent val="0"/>
          <c:showBubbleSize val="0"/>
        </c:dLbls>
        <c:gapWidth val="219"/>
        <c:overlap val="-27"/>
        <c:axId val="429230528"/>
        <c:axId val="429232096"/>
      </c:barChart>
      <c:catAx>
        <c:axId val="42923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232096"/>
        <c:crosses val="autoZero"/>
        <c:auto val="1"/>
        <c:lblAlgn val="ctr"/>
        <c:lblOffset val="100"/>
        <c:noMultiLvlLbl val="0"/>
      </c:catAx>
      <c:valAx>
        <c:axId val="429232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9230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VIDA DIGNA. COMPARATIVO DICIEMBRE 2024 </a:t>
            </a:r>
            <a:r>
              <a:rPr lang="es-CO" sz="1400" b="1" i="0" u="none" strike="noStrike" kern="1200" spc="0" baseline="0">
                <a:solidFill>
                  <a:srgbClr val="000000">
                    <a:lumMod val="65000"/>
                    <a:lumOff val="35000"/>
                  </a:srgbClr>
                </a:solidFill>
                <a:latin typeface="+mn-lt"/>
                <a:ea typeface="+mn-ea"/>
                <a:cs typeface="+mn-cs"/>
              </a:rPr>
              <a:t>- 31 DE DICIEMBRE DE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'!$D$4</c:f>
              <c:strCache>
                <c:ptCount val="1"/>
                <c:pt idx="0">
                  <c:v>ESPERADO  AL CUATRIENIO CORTE DICIEMBRE 2025</c:v>
                </c:pt>
              </c:strCache>
            </c:strRef>
          </c:tx>
          <c:spPr>
            <a:solidFill>
              <a:schemeClr val="tx2">
                <a:lumMod val="75000"/>
                <a:lumOff val="25000"/>
              </a:schemeClr>
            </a:solidFill>
            <a:ln>
              <a:noFill/>
            </a:ln>
            <a:effectLst/>
          </c:spPr>
          <c:invertIfNegative val="0"/>
          <c:dLbls>
            <c:dLbl>
              <c:idx val="1"/>
              <c:layout>
                <c:manualLayout>
                  <c:x val="-1.5862944162436547E-2"/>
                  <c:y val="-4.095004095004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EB-408F-B65D-64A732EFFC6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0.51473719808474006</c:v>
                </c:pt>
                <c:pt idx="1">
                  <c:v>0.47305009896863803</c:v>
                </c:pt>
                <c:pt idx="2">
                  <c:v>0.4942397664731964</c:v>
                </c:pt>
                <c:pt idx="3">
                  <c:v>0.29275669934640519</c:v>
                </c:pt>
                <c:pt idx="4">
                  <c:v>0.6175572285863945</c:v>
                </c:pt>
                <c:pt idx="5">
                  <c:v>0.5512547869858142</c:v>
                </c:pt>
                <c:pt idx="6">
                  <c:v>0.65956460814799245</c:v>
                </c:pt>
              </c:numCache>
            </c:numRef>
          </c:val>
          <c:extLst>
            <c:ext xmlns:c16="http://schemas.microsoft.com/office/drawing/2014/chart" uri="{C3380CC4-5D6E-409C-BE32-E72D297353CC}">
              <c16:uniqueId val="{00000000-E1C8-46AE-9522-305429A00121}"/>
            </c:ext>
          </c:extLst>
        </c:ser>
        <c:ser>
          <c:idx val="1"/>
          <c:order val="1"/>
          <c:tx>
            <c:strRef>
              <c:f>'GRAFICAS VIDA DIGNA '!$E$4</c:f>
              <c:strCache>
                <c:ptCount val="1"/>
                <c:pt idx="0">
                  <c:v>LOGRO VIGENCIA  CORTE 31 DE DICIEMBRE DE 2025 RESPECTO AL CUATRIENIO</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11-F2A2-4F55-9B3F-7BACD1D7EA70}"/>
              </c:ext>
            </c:extLst>
          </c:dPt>
          <c:dPt>
            <c:idx val="1"/>
            <c:invertIfNegative val="0"/>
            <c:bubble3D val="0"/>
            <c:spPr>
              <a:solidFill>
                <a:srgbClr val="00B050"/>
              </a:solidFill>
              <a:ln>
                <a:noFill/>
              </a:ln>
              <a:effectLst/>
            </c:spPr>
            <c:extLst>
              <c:ext xmlns:c16="http://schemas.microsoft.com/office/drawing/2014/chart" uri="{C3380CC4-5D6E-409C-BE32-E72D297353CC}">
                <c16:uniqueId val="{0000000A-D607-43EB-9721-B7584D8D838B}"/>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99AF-4A51-BCA7-77ADA8723155}"/>
              </c:ext>
            </c:extLst>
          </c:dPt>
          <c:dPt>
            <c:idx val="3"/>
            <c:invertIfNegative val="0"/>
            <c:bubble3D val="0"/>
            <c:spPr>
              <a:solidFill>
                <a:srgbClr val="FF9999"/>
              </a:solidFill>
              <a:ln>
                <a:noFill/>
              </a:ln>
              <a:effectLst/>
            </c:spPr>
            <c:extLst>
              <c:ext xmlns:c16="http://schemas.microsoft.com/office/drawing/2014/chart" uri="{C3380CC4-5D6E-409C-BE32-E72D297353CC}">
                <c16:uniqueId val="{00000005-99AF-4A51-BCA7-77ADA8723155}"/>
              </c:ext>
            </c:extLst>
          </c:dPt>
          <c:dPt>
            <c:idx val="4"/>
            <c:invertIfNegative val="0"/>
            <c:bubble3D val="0"/>
            <c:spPr>
              <a:solidFill>
                <a:srgbClr val="00B050"/>
              </a:solidFill>
              <a:ln>
                <a:noFill/>
              </a:ln>
              <a:effectLst/>
            </c:spPr>
            <c:extLst>
              <c:ext xmlns:c16="http://schemas.microsoft.com/office/drawing/2014/chart" uri="{C3380CC4-5D6E-409C-BE32-E72D297353CC}">
                <c16:uniqueId val="{00000007-99AF-4A51-BCA7-77ADA8723155}"/>
              </c:ext>
            </c:extLst>
          </c:dPt>
          <c:dPt>
            <c:idx val="5"/>
            <c:invertIfNegative val="0"/>
            <c:bubble3D val="0"/>
            <c:spPr>
              <a:solidFill>
                <a:srgbClr val="00B050"/>
              </a:solidFill>
              <a:ln>
                <a:noFill/>
              </a:ln>
              <a:effectLst/>
            </c:spPr>
            <c:extLst>
              <c:ext xmlns:c16="http://schemas.microsoft.com/office/drawing/2014/chart" uri="{C3380CC4-5D6E-409C-BE32-E72D297353CC}">
                <c16:uniqueId val="{00000008-99AF-4A51-BCA7-77ADA8723155}"/>
              </c:ext>
            </c:extLst>
          </c:dPt>
          <c:dPt>
            <c:idx val="6"/>
            <c:invertIfNegative val="0"/>
            <c:bubble3D val="0"/>
            <c:spPr>
              <a:solidFill>
                <a:srgbClr val="00B050"/>
              </a:solidFill>
              <a:ln>
                <a:noFill/>
              </a:ln>
              <a:effectLst/>
            </c:spPr>
            <c:extLst>
              <c:ext xmlns:c16="http://schemas.microsoft.com/office/drawing/2014/chart" uri="{C3380CC4-5D6E-409C-BE32-E72D297353CC}">
                <c16:uniqueId val="{00000009-99AF-4A51-BCA7-77ADA872315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0.5127485650474547</c:v>
                </c:pt>
                <c:pt idx="1">
                  <c:v>0.50550379134463475</c:v>
                </c:pt>
                <c:pt idx="2">
                  <c:v>0.36954161861032914</c:v>
                </c:pt>
                <c:pt idx="3">
                  <c:v>0.2397588235294118</c:v>
                </c:pt>
                <c:pt idx="4">
                  <c:v>0.67944991280412703</c:v>
                </c:pt>
                <c:pt idx="5">
                  <c:v>0.58130025930285478</c:v>
                </c:pt>
                <c:pt idx="6">
                  <c:v>0.70093698469337029</c:v>
                </c:pt>
              </c:numCache>
            </c:numRef>
          </c:val>
          <c:extLst>
            <c:ext xmlns:c16="http://schemas.microsoft.com/office/drawing/2014/chart" uri="{C3380CC4-5D6E-409C-BE32-E72D297353CC}">
              <c16:uniqueId val="{00000001-E1C8-46AE-9522-305429A00121}"/>
            </c:ext>
          </c:extLst>
        </c:ser>
        <c:ser>
          <c:idx val="2"/>
          <c:order val="2"/>
          <c:tx>
            <c:strRef>
              <c:f>'GRAFICAS VIDA DIGNA '!$F$4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'!$F$5:$F$11</c:f>
              <c:numCache>
                <c:formatCode>0.0%</c:formatCode>
                <c:ptCount val="7"/>
                <c:pt idx="0">
                  <c:v>0.22389547133016827</c:v>
                </c:pt>
                <c:pt idx="1">
                  <c:v>0.21288627727196741</c:v>
                </c:pt>
                <c:pt idx="2">
                  <c:v>0.1332971286782689</c:v>
                </c:pt>
                <c:pt idx="3">
                  <c:v>0.14324852941176469</c:v>
                </c:pt>
                <c:pt idx="4">
                  <c:v>0.24864012602929381</c:v>
                </c:pt>
                <c:pt idx="5">
                  <c:v>0.26532184592777297</c:v>
                </c:pt>
                <c:pt idx="6">
                  <c:v>0.33997892066194169</c:v>
                </c:pt>
              </c:numCache>
            </c:numRef>
          </c:val>
          <c:extLst>
            <c:ext xmlns:c16="http://schemas.microsoft.com/office/drawing/2014/chart" uri="{C3380CC4-5D6E-409C-BE32-E72D297353CC}">
              <c16:uniqueId val="{00000002-E1C8-46AE-9522-305429A00121}"/>
            </c:ext>
          </c:extLst>
        </c:ser>
        <c:dLbls>
          <c:showLegendKey val="0"/>
          <c:showVal val="0"/>
          <c:showCatName val="0"/>
          <c:showSerName val="0"/>
          <c:showPercent val="0"/>
          <c:showBubbleSize val="0"/>
        </c:dLbls>
        <c:gapWidth val="219"/>
        <c:overlap val="-27"/>
        <c:axId val="429905488"/>
        <c:axId val="429902744"/>
      </c:barChart>
      <c:catAx>
        <c:axId val="42990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429902744"/>
        <c:crosses val="autoZero"/>
        <c:auto val="1"/>
        <c:lblAlgn val="ctr"/>
        <c:lblOffset val="100"/>
        <c:noMultiLvlLbl val="0"/>
      </c:catAx>
      <c:valAx>
        <c:axId val="429902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29905488"/>
        <c:crosses val="autoZero"/>
        <c:crossBetween val="between"/>
      </c:valAx>
      <c:spPr>
        <a:noFill/>
        <a:ln>
          <a:noFill/>
        </a:ln>
        <a:effectLst/>
      </c:spPr>
    </c:plotArea>
    <c:legend>
      <c:legendPos val="b"/>
      <c:layout>
        <c:manualLayout>
          <c:xMode val="edge"/>
          <c:yMode val="edge"/>
          <c:x val="5.000000000000001E-2"/>
          <c:y val="0.88952436688657166"/>
          <c:w val="0.9"/>
          <c:h val="5.9288104070431502E-2"/>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AVANCE CUATRIENIO COMPONENTE </a:t>
            </a:r>
            <a:r>
              <a:rPr lang="en-US" sz="1200" b="1" i="0" u="none" strike="noStrike" kern="1200" spc="0" baseline="0">
                <a:solidFill>
                  <a:srgbClr val="000000">
                    <a:lumMod val="65000"/>
                    <a:lumOff val="35000"/>
                  </a:srgbClr>
                </a:solidFill>
                <a:effectLst/>
                <a:latin typeface="+mn-lt"/>
                <a:ea typeface="+mn-ea"/>
                <a:cs typeface="+mn-cs"/>
              </a:rPr>
              <a:t>IMPULSOR VIVIENDA DIGNA Y HÁBITAT. PROGRAMAS  CORTE </a:t>
            </a:r>
            <a:r>
              <a:rPr lang="es-CO" sz="1200" b="1" i="0" u="none" strike="noStrike" kern="1200" spc="0" baseline="0">
                <a:solidFill>
                  <a:srgbClr val="000000">
                    <a:lumMod val="65000"/>
                    <a:lumOff val="35000"/>
                  </a:srgbClr>
                </a:solidFill>
                <a:effectLst/>
                <a:latin typeface="+mn-lt"/>
                <a:ea typeface="+mn-ea"/>
                <a:cs typeface="+mn-cs"/>
              </a:rPr>
              <a:t>31 DE DICIEMBRE DE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9579737206571053E-2"/>
          <c:y val="0.17444041601263571"/>
          <c:w val="0.91449433923024759"/>
          <c:h val="0.70461046949904216"/>
        </c:manualLayout>
      </c:layout>
      <c:barChart>
        <c:barDir val="col"/>
        <c:grouping val="clustered"/>
        <c:varyColors val="0"/>
        <c:ser>
          <c:idx val="0"/>
          <c:order val="0"/>
          <c:tx>
            <c:strRef>
              <c:f>'GRAFICAS VIDA DIGNA '!$E$71</c:f>
              <c:strCache>
                <c:ptCount val="1"/>
                <c:pt idx="0">
                  <c:v>AVANCE CUATRIENIO COMPONENTE IMPULSOR VIVIENDA DIGNA Y HÁBITATCORTE 31 DE DICIEMBRE DE 2025</c:v>
                </c:pt>
              </c:strCache>
            </c:strRef>
          </c:tx>
          <c:spPr>
            <a:solidFill>
              <a:srgbClr val="FFFF00"/>
            </a:solidFill>
            <a:ln>
              <a:noFill/>
            </a:ln>
            <a:effectLst/>
          </c:spPr>
          <c:invertIfNegative val="0"/>
          <c:dPt>
            <c:idx val="0"/>
            <c:invertIfNegative val="0"/>
            <c:bubble3D val="0"/>
            <c:spPr>
              <a:solidFill>
                <a:srgbClr val="FF9999"/>
              </a:solidFill>
              <a:ln>
                <a:noFill/>
              </a:ln>
              <a:effectLst/>
            </c:spPr>
            <c:extLst>
              <c:ext xmlns:c16="http://schemas.microsoft.com/office/drawing/2014/chart" uri="{C3380CC4-5D6E-409C-BE32-E72D297353CC}">
                <c16:uniqueId val="{00000001-E2D5-4432-8BAF-BCDB06264E74}"/>
              </c:ext>
            </c:extLst>
          </c:dPt>
          <c:dPt>
            <c:idx val="1"/>
            <c:invertIfNegative val="0"/>
            <c:bubble3D val="0"/>
            <c:spPr>
              <a:solidFill>
                <a:srgbClr val="FF0000"/>
              </a:solidFill>
              <a:ln>
                <a:noFill/>
              </a:ln>
              <a:effectLst/>
            </c:spPr>
            <c:extLst>
              <c:ext xmlns:c16="http://schemas.microsoft.com/office/drawing/2014/chart" uri="{C3380CC4-5D6E-409C-BE32-E72D297353CC}">
                <c16:uniqueId val="{00000003-E2D5-4432-8BAF-BCDB06264E74}"/>
              </c:ext>
            </c:extLst>
          </c:dPt>
          <c:dPt>
            <c:idx val="2"/>
            <c:invertIfNegative val="0"/>
            <c:bubble3D val="0"/>
            <c:spPr>
              <a:solidFill>
                <a:srgbClr val="FFFF00"/>
              </a:solidFill>
              <a:ln>
                <a:noFill/>
              </a:ln>
              <a:effectLst/>
            </c:spPr>
            <c:extLst>
              <c:ext xmlns:c16="http://schemas.microsoft.com/office/drawing/2014/chart" uri="{C3380CC4-5D6E-409C-BE32-E72D297353CC}">
                <c16:uniqueId val="{00000005-E2D5-4432-8BAF-BCDB06264E74}"/>
              </c:ext>
            </c:extLst>
          </c:dPt>
          <c:dPt>
            <c:idx val="3"/>
            <c:invertIfNegative val="0"/>
            <c:bubble3D val="0"/>
            <c:spPr>
              <a:solidFill>
                <a:srgbClr val="FFFF00"/>
              </a:solidFill>
              <a:ln>
                <a:noFill/>
              </a:ln>
              <a:effectLst/>
            </c:spPr>
            <c:extLst>
              <c:ext xmlns:c16="http://schemas.microsoft.com/office/drawing/2014/chart" uri="{C3380CC4-5D6E-409C-BE32-E72D297353CC}">
                <c16:uniqueId val="{00000007-E2D5-4432-8BAF-BCDB06264E74}"/>
              </c:ext>
            </c:extLst>
          </c:dPt>
          <c:dPt>
            <c:idx val="4"/>
            <c:invertIfNegative val="0"/>
            <c:bubble3D val="0"/>
            <c:spPr>
              <a:solidFill>
                <a:srgbClr val="FFFF00"/>
              </a:solidFill>
              <a:ln>
                <a:noFill/>
              </a:ln>
              <a:effectLst/>
            </c:spPr>
            <c:extLst>
              <c:ext xmlns:c16="http://schemas.microsoft.com/office/drawing/2014/chart" uri="{C3380CC4-5D6E-409C-BE32-E72D297353CC}">
                <c16:uniqueId val="{00000008-6EA3-458D-80DD-B5A9E08CC99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'!$E$72:$E$76</c:f>
              <c:numCache>
                <c:formatCode>0.0%</c:formatCode>
                <c:ptCount val="5"/>
                <c:pt idx="0">
                  <c:v>0.2397588235294118</c:v>
                </c:pt>
                <c:pt idx="1">
                  <c:v>8.6300000000000002E-2</c:v>
                </c:pt>
                <c:pt idx="2">
                  <c:v>0.28556862745098038</c:v>
                </c:pt>
                <c:pt idx="3">
                  <c:v>0.29360000000000003</c:v>
                </c:pt>
                <c:pt idx="4">
                  <c:v>0.2935666666666667</c:v>
                </c:pt>
              </c:numCache>
            </c:numRef>
          </c:val>
          <c:extLst>
            <c:ext xmlns:c16="http://schemas.microsoft.com/office/drawing/2014/chart" uri="{C3380CC4-5D6E-409C-BE32-E72D297353CC}">
              <c16:uniqueId val="{00000008-E2D5-4432-8BAF-BCDB06264E74}"/>
            </c:ext>
          </c:extLst>
        </c:ser>
        <c:dLbls>
          <c:showLegendKey val="0"/>
          <c:showVal val="0"/>
          <c:showCatName val="0"/>
          <c:showSerName val="0"/>
          <c:showPercent val="0"/>
          <c:showBubbleSize val="0"/>
        </c:dLbls>
        <c:gapWidth val="219"/>
        <c:overlap val="-27"/>
        <c:axId val="429907840"/>
        <c:axId val="429906272"/>
      </c:barChart>
      <c:catAx>
        <c:axId val="42990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9906272"/>
        <c:crosses val="autoZero"/>
        <c:auto val="1"/>
        <c:lblAlgn val="ctr"/>
        <c:lblOffset val="100"/>
        <c:noMultiLvlLbl val="0"/>
      </c:catAx>
      <c:valAx>
        <c:axId val="429906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DESARROLLO </a:t>
            </a:r>
            <a:r>
              <a:rPr lang="es-ES" b="1"/>
              <a:t>ECONÓMICO</a:t>
            </a:r>
            <a:r>
              <a:rPr lang="es-CO" b="1"/>
              <a:t> </a:t>
            </a:r>
            <a:r>
              <a:rPr lang="es-CO" sz="1560" b="1" i="0" u="none" strike="noStrike" baseline="0">
                <a:effectLst/>
              </a:rPr>
              <a:t>31 DE DICIEMBRE DE 2025</a:t>
            </a:r>
            <a:endParaRPr lang="es-CO" b="1"/>
          </a:p>
        </c:rich>
      </c:tx>
      <c:overlay val="0"/>
      <c:spPr>
        <a:noFill/>
        <a:ln>
          <a:noFill/>
        </a:ln>
        <a:effectLst/>
      </c:spPr>
      <c:txPr>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2566811110331592E-2"/>
          <c:y val="8.7784564131038315E-2"/>
          <c:w val="0.9578056021390472"/>
          <c:h val="0.72291315659778344"/>
        </c:manualLayout>
      </c:layout>
      <c:barChart>
        <c:barDir val="col"/>
        <c:grouping val="clustered"/>
        <c:varyColors val="0"/>
        <c:ser>
          <c:idx val="0"/>
          <c:order val="0"/>
          <c:tx>
            <c:strRef>
              <c:f>'GRAFICAS DESARROLLO ECONOMICO'!$D$4</c:f>
              <c:strCache>
                <c:ptCount val="1"/>
                <c:pt idx="0">
                  <c:v>ESPERADO  AL CUATRIENIO CORTE DICIEMBRE 2025</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0.54819427564280709</c:v>
                </c:pt>
                <c:pt idx="1">
                  <c:v>0.65333333333333332</c:v>
                </c:pt>
                <c:pt idx="2">
                  <c:v>0.57802777777777781</c:v>
                </c:pt>
                <c:pt idx="3">
                  <c:v>0.44333803418803419</c:v>
                </c:pt>
                <c:pt idx="4">
                  <c:v>0.45191666666666674</c:v>
                </c:pt>
                <c:pt idx="5">
                  <c:v>0.6744342025757889</c:v>
                </c:pt>
                <c:pt idx="6">
                  <c:v>0.58398769273582618</c:v>
                </c:pt>
                <c:pt idx="7">
                  <c:v>0.45232222222222218</c:v>
                </c:pt>
              </c:numCache>
            </c:numRef>
          </c:val>
          <c:extLst>
            <c:ext xmlns:c16="http://schemas.microsoft.com/office/drawing/2014/chart" uri="{C3380CC4-5D6E-409C-BE32-E72D297353CC}">
              <c16:uniqueId val="{00000000-9F4A-43C0-81A8-3A12DFD2CA5C}"/>
            </c:ext>
          </c:extLst>
        </c:ser>
        <c:ser>
          <c:idx val="1"/>
          <c:order val="1"/>
          <c:tx>
            <c:strRef>
              <c:f>'GRAFICAS DESARROLLO ECONOMICO'!$E$4</c:f>
              <c:strCache>
                <c:ptCount val="1"/>
                <c:pt idx="0">
                  <c:v>LOGRO VIGENCIA  CORTE 31 DE DICIEMBRE DE 2025 RESPECTO AL CUATRIENIO</c:v>
                </c:pt>
              </c:strCache>
            </c:strRef>
          </c:tx>
          <c:spPr>
            <a:solidFill>
              <a:srgbClr val="FFFF0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E-295E-44D5-ACDF-919A6E23AF15}"/>
              </c:ext>
            </c:extLst>
          </c:dPt>
          <c:dPt>
            <c:idx val="1"/>
            <c:invertIfNegative val="0"/>
            <c:bubble3D val="0"/>
            <c:spPr>
              <a:solidFill>
                <a:srgbClr val="00B050"/>
              </a:solidFill>
              <a:ln>
                <a:noFill/>
              </a:ln>
              <a:effectLst/>
            </c:spPr>
            <c:extLst>
              <c:ext xmlns:c16="http://schemas.microsoft.com/office/drawing/2014/chart" uri="{C3380CC4-5D6E-409C-BE32-E72D297353CC}">
                <c16:uniqueId val="{00000002-50B9-4CDE-92FB-8E749D41557A}"/>
              </c:ext>
            </c:extLst>
          </c:dPt>
          <c:dPt>
            <c:idx val="2"/>
            <c:invertIfNegative val="0"/>
            <c:bubble3D val="0"/>
            <c:spPr>
              <a:solidFill>
                <a:srgbClr val="00B050"/>
              </a:solidFill>
              <a:ln>
                <a:noFill/>
              </a:ln>
              <a:effectLst/>
            </c:spPr>
            <c:extLst>
              <c:ext xmlns:c16="http://schemas.microsoft.com/office/drawing/2014/chart" uri="{C3380CC4-5D6E-409C-BE32-E72D297353CC}">
                <c16:uniqueId val="{0000000A-FCE7-4BAD-B81B-67B8F3A8E91E}"/>
              </c:ext>
            </c:extLst>
          </c:dPt>
          <c:dPt>
            <c:idx val="3"/>
            <c:invertIfNegative val="0"/>
            <c:bubble3D val="0"/>
            <c:spPr>
              <a:solidFill>
                <a:srgbClr val="00B050"/>
              </a:solidFill>
              <a:ln>
                <a:noFill/>
              </a:ln>
              <a:effectLst/>
            </c:spPr>
            <c:extLst>
              <c:ext xmlns:c16="http://schemas.microsoft.com/office/drawing/2014/chart" uri="{C3380CC4-5D6E-409C-BE32-E72D297353CC}">
                <c16:uniqueId val="{00000013-D0EE-4035-AAC7-39A3DEBE509F}"/>
              </c:ext>
            </c:extLst>
          </c:dPt>
          <c:dPt>
            <c:idx val="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C-A4D3-4361-8422-2D96EF7DC0DC}"/>
              </c:ext>
            </c:extLst>
          </c:dPt>
          <c:dPt>
            <c:idx val="5"/>
            <c:invertIfNegative val="0"/>
            <c:bubble3D val="0"/>
            <c:spPr>
              <a:solidFill>
                <a:srgbClr val="00B050"/>
              </a:solidFill>
              <a:ln>
                <a:noFill/>
              </a:ln>
              <a:effectLst/>
            </c:spPr>
            <c:extLst>
              <c:ext xmlns:c16="http://schemas.microsoft.com/office/drawing/2014/chart" uri="{C3380CC4-5D6E-409C-BE32-E72D297353CC}">
                <c16:uniqueId val="{00000006-3BE6-4FCE-9BA0-443BD2138E88}"/>
              </c:ext>
            </c:extLst>
          </c:dPt>
          <c:dPt>
            <c:idx val="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3BE6-4FCE-9BA0-443BD2138E88}"/>
              </c:ext>
            </c:extLst>
          </c:dPt>
          <c:dPt>
            <c:idx val="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50B9-4CDE-92FB-8E749D41557A}"/>
              </c:ext>
            </c:extLst>
          </c:dPt>
          <c:dLbls>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0.48812060511247513</c:v>
                </c:pt>
                <c:pt idx="1">
                  <c:v>0.59083333333333332</c:v>
                </c:pt>
                <c:pt idx="2">
                  <c:v>0.58986633269720101</c:v>
                </c:pt>
                <c:pt idx="3">
                  <c:v>0.55999045584045581</c:v>
                </c:pt>
                <c:pt idx="4">
                  <c:v>0.39236458333333335</c:v>
                </c:pt>
                <c:pt idx="5">
                  <c:v>0.51483556384227602</c:v>
                </c:pt>
                <c:pt idx="6">
                  <c:v>0.40940952229628164</c:v>
                </c:pt>
                <c:pt idx="7">
                  <c:v>0.35954444444444444</c:v>
                </c:pt>
              </c:numCache>
            </c:numRef>
          </c:val>
          <c:extLst>
            <c:ext xmlns:c16="http://schemas.microsoft.com/office/drawing/2014/chart" uri="{C3380CC4-5D6E-409C-BE32-E72D297353CC}">
              <c16:uniqueId val="{00000001-9F4A-43C0-81A8-3A12DFD2CA5C}"/>
            </c:ext>
          </c:extLst>
        </c:ser>
        <c:dLbls>
          <c:showLegendKey val="0"/>
          <c:showVal val="0"/>
          <c:showCatName val="0"/>
          <c:showSerName val="0"/>
          <c:showPercent val="0"/>
          <c:showBubbleSize val="0"/>
        </c:dLbls>
        <c:gapWidth val="219"/>
        <c:overlap val="-27"/>
        <c:axId val="429909016"/>
        <c:axId val="429902352"/>
      </c:barChart>
      <c:catAx>
        <c:axId val="42990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29902352"/>
        <c:crosses val="autoZero"/>
        <c:auto val="1"/>
        <c:lblAlgn val="ctr"/>
        <c:lblOffset val="100"/>
        <c:noMultiLvlLbl val="0"/>
      </c:catAx>
      <c:valAx>
        <c:axId val="429902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29909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r>
              <a:rPr lang="es-CO" sz="1100" b="1"/>
              <a:t>AVANCE COMPONENTES IMPULSORES LINEA ESTRATEGICA DESARROLLO </a:t>
            </a:r>
            <a:r>
              <a:rPr lang="es-CO" sz="1100" b="1" i="0" u="none" strike="noStrike" kern="1200" spc="0" baseline="0">
                <a:solidFill>
                  <a:srgbClr val="000000">
                    <a:lumMod val="65000"/>
                    <a:lumOff val="35000"/>
                  </a:srgbClr>
                </a:solidFill>
                <a:latin typeface="+mn-lt"/>
                <a:ea typeface="+mn-ea"/>
                <a:cs typeface="+mn-cs"/>
              </a:rPr>
              <a:t>ECONOMICO 31 DE DICIEMBRE DE 2025</a:t>
            </a:r>
          </a:p>
          <a:p>
            <a:pPr marL="0" marR="0" indent="0" algn="ctr" defTabSz="914400" rtl="0" eaLnBrk="1" fontAlgn="auto" latinLnBrk="0" hangingPunct="1">
              <a:lnSpc>
                <a:spcPct val="100000"/>
              </a:lnSpc>
              <a:spcBef>
                <a:spcPts val="0"/>
              </a:spcBef>
              <a:spcAft>
                <a:spcPts val="0"/>
              </a:spcAft>
              <a:buClrTx/>
              <a:buSzTx/>
              <a:buFontTx/>
              <a:buNone/>
              <a:tabLst/>
              <a:defRPr sz="1100" b="1">
                <a:solidFill>
                  <a:srgbClr val="000000">
                    <a:lumMod val="65000"/>
                    <a:lumOff val="35000"/>
                  </a:srgbClr>
                </a:solidFill>
              </a:defRPr>
            </a:pPr>
            <a:r>
              <a:rPr lang="es-CO" sz="1100" b="1" i="0" u="none" strike="noStrike" kern="1200" spc="0" baseline="0">
                <a:solidFill>
                  <a:srgbClr val="000000">
                    <a:lumMod val="65000"/>
                    <a:lumOff val="35000"/>
                  </a:srgbClr>
                </a:solidFill>
                <a:latin typeface="+mn-lt"/>
                <a:ea typeface="+mn-ea"/>
                <a:cs typeface="+mn-cs"/>
              </a:rPr>
              <a:t>. RESPECTO AL CUATRIENIO. PONDERADO.</a:t>
            </a:r>
          </a:p>
        </c:rich>
      </c:tx>
      <c:layout>
        <c:manualLayout>
          <c:xMode val="edge"/>
          <c:yMode val="edge"/>
          <c:x val="0.14328968420932117"/>
          <c:y val="9.6750773815736241E-3"/>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ECONOMICO'!$N$4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ECONOMICO'!$N$5:$N$12</c:f>
              <c:numCache>
                <c:formatCode>0.0%</c:formatCode>
                <c:ptCount val="8"/>
                <c:pt idx="0">
                  <c:v>0.49242436784377663</c:v>
                </c:pt>
                <c:pt idx="1">
                  <c:v>0.65625</c:v>
                </c:pt>
                <c:pt idx="2">
                  <c:v>0.53725000000000001</c:v>
                </c:pt>
                <c:pt idx="3">
                  <c:v>0.42369658119658121</c:v>
                </c:pt>
                <c:pt idx="4">
                  <c:v>0.45204166666666673</c:v>
                </c:pt>
                <c:pt idx="5">
                  <c:v>0.68279743197983567</c:v>
                </c:pt>
                <c:pt idx="6">
                  <c:v>0.41627864506335271</c:v>
                </c:pt>
                <c:pt idx="7">
                  <c:v>0.39166666666666661</c:v>
                </c:pt>
              </c:numCache>
            </c:numRef>
          </c:val>
          <c:extLst>
            <c:ext xmlns:c16="http://schemas.microsoft.com/office/drawing/2014/chart" uri="{C3380CC4-5D6E-409C-BE32-E72D297353CC}">
              <c16:uniqueId val="{00000000-12F7-4069-8ED8-06F05995E246}"/>
            </c:ext>
          </c:extLst>
        </c:ser>
        <c:ser>
          <c:idx val="1"/>
          <c:order val="1"/>
          <c:tx>
            <c:strRef>
              <c:f>'GRAFICAS DESARROLLO ECONOMICO'!$O$4</c:f>
              <c:strCache>
                <c:ptCount val="1"/>
                <c:pt idx="0">
                  <c:v>LOGRO CORTE 31 DE DICIEMBRE DE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ECONOMICO'!$O$5:$O$12</c:f>
              <c:numCache>
                <c:formatCode>0.0%</c:formatCode>
                <c:ptCount val="8"/>
                <c:pt idx="0">
                  <c:v>0.47717044466787067</c:v>
                </c:pt>
                <c:pt idx="1">
                  <c:v>0.55075000000000007</c:v>
                </c:pt>
                <c:pt idx="2">
                  <c:v>0.65223139312977096</c:v>
                </c:pt>
                <c:pt idx="3">
                  <c:v>0.45406589743589743</c:v>
                </c:pt>
                <c:pt idx="4">
                  <c:v>0.48483416666666668</c:v>
                </c:pt>
                <c:pt idx="5">
                  <c:v>0.46027253772184246</c:v>
                </c:pt>
                <c:pt idx="6">
                  <c:v>0.45634263977502848</c:v>
                </c:pt>
                <c:pt idx="7">
                  <c:v>0.33761249999999998</c:v>
                </c:pt>
              </c:numCache>
            </c:numRef>
          </c:val>
          <c:extLst>
            <c:ext xmlns:c16="http://schemas.microsoft.com/office/drawing/2014/chart" uri="{C3380CC4-5D6E-409C-BE32-E72D297353CC}">
              <c16:uniqueId val="{00000001-12F7-4069-8ED8-06F05995E246}"/>
            </c:ext>
          </c:extLst>
        </c:ser>
        <c:dLbls>
          <c:showLegendKey val="0"/>
          <c:showVal val="0"/>
          <c:showCatName val="0"/>
          <c:showSerName val="0"/>
          <c:showPercent val="0"/>
          <c:showBubbleSize val="0"/>
        </c:dLbls>
        <c:gapWidth val="219"/>
        <c:overlap val="-27"/>
        <c:axId val="429904312"/>
        <c:axId val="429901568"/>
      </c:barChart>
      <c:catAx>
        <c:axId val="42990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1568"/>
        <c:crosses val="autoZero"/>
        <c:auto val="1"/>
        <c:lblAlgn val="ctr"/>
        <c:lblOffset val="100"/>
        <c:noMultiLvlLbl val="0"/>
      </c:catAx>
      <c:valAx>
        <c:axId val="429901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Componente Impulsor de avance: Diversificación Económica. Avance</a:t>
            </a:r>
            <a:r>
              <a:rPr lang="en-US" b="1" baseline="0"/>
              <a:t> ponderado </a:t>
            </a:r>
            <a:r>
              <a:rPr lang="es-CO" sz="1400" b="1" i="0" u="none" strike="noStrike" baseline="0">
                <a:effectLst/>
              </a:rPr>
              <a:t> </a:t>
            </a:r>
            <a:r>
              <a:rPr lang="en-US" sz="1400" b="1" i="0" u="none" strike="noStrike" baseline="0">
                <a:effectLst/>
              </a:rPr>
              <a:t>31 de diciembre de 2025</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DESARROLLO ECONOMICO'!$D$37</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ECONOMICO'!$D$38:$D$42</c:f>
              <c:numCache>
                <c:formatCode>0.00%</c:formatCode>
                <c:ptCount val="5"/>
                <c:pt idx="0">
                  <c:v>0.65223139312977096</c:v>
                </c:pt>
                <c:pt idx="1">
                  <c:v>0.88874999999999993</c:v>
                </c:pt>
                <c:pt idx="2">
                  <c:v>0.5779389312977099</c:v>
                </c:pt>
                <c:pt idx="3">
                  <c:v>0.36</c:v>
                </c:pt>
                <c:pt idx="4">
                  <c:v>0.755</c:v>
                </c:pt>
              </c:numCache>
            </c:numRef>
          </c:val>
          <c:extLst>
            <c:ext xmlns:c16="http://schemas.microsoft.com/office/drawing/2014/chart" uri="{C3380CC4-5D6E-409C-BE32-E72D297353CC}">
              <c16:uniqueId val="{00000000-C317-43F3-B058-E582ACE1CECF}"/>
            </c:ext>
          </c:extLst>
        </c:ser>
        <c:dLbls>
          <c:showLegendKey val="0"/>
          <c:showVal val="0"/>
          <c:showCatName val="0"/>
          <c:showSerName val="0"/>
          <c:showPercent val="0"/>
          <c:showBubbleSize val="0"/>
        </c:dLbls>
        <c:gapWidth val="219"/>
        <c:overlap val="-27"/>
        <c:axId val="429906664"/>
        <c:axId val="429908624"/>
      </c:barChart>
      <c:catAx>
        <c:axId val="42990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8624"/>
        <c:crosses val="autoZero"/>
        <c:auto val="1"/>
        <c:lblAlgn val="ctr"/>
        <c:lblOffset val="100"/>
        <c:noMultiLvlLbl val="0"/>
      </c:catAx>
      <c:valAx>
        <c:axId val="429908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6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CO" sz="1200" b="1" i="0" u="none" strike="noStrike" baseline="0">
                <a:effectLst/>
              </a:rPr>
              <a:t>Componente Impulsor de avance: Trabajo Decente y Cierre de Brechas Laborales. Avance ponderado  </a:t>
            </a:r>
            <a:r>
              <a:rPr lang="en-US" sz="1200" b="1" i="0" u="none" strike="noStrike" baseline="0">
                <a:effectLst/>
              </a:rPr>
              <a:t>31 de diciembre de 2025</a:t>
            </a:r>
            <a:endParaRPr lang="en-US" sz="1200" b="1"/>
          </a:p>
        </c:rich>
      </c:tx>
      <c:layout>
        <c:manualLayout>
          <c:xMode val="edge"/>
          <c:yMode val="edge"/>
          <c:x val="0.122098374066878"/>
          <c:y val="1.700230889157447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100769102426792E-2"/>
          <c:y val="0.13884323172296581"/>
          <c:w val="0.92786163691261081"/>
          <c:h val="0.76745250713420943"/>
        </c:manualLayout>
      </c:layout>
      <c:barChart>
        <c:barDir val="col"/>
        <c:grouping val="clustered"/>
        <c:varyColors val="0"/>
        <c:ser>
          <c:idx val="0"/>
          <c:order val="0"/>
          <c:tx>
            <c:strRef>
              <c:f>'GRAFICAS DESARROLLO ECONOMICO'!$D$44</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ECONOMICO'!$D$45:$D$48</c:f>
              <c:numCache>
                <c:formatCode>0.00%</c:formatCode>
                <c:ptCount val="4"/>
                <c:pt idx="0">
                  <c:v>0.45406589743589743</c:v>
                </c:pt>
                <c:pt idx="1">
                  <c:v>0.20471833333333331</c:v>
                </c:pt>
                <c:pt idx="2">
                  <c:v>0.54374999999999996</c:v>
                </c:pt>
                <c:pt idx="3">
                  <c:v>0.86307692307692307</c:v>
                </c:pt>
              </c:numCache>
            </c:numRef>
          </c:val>
          <c:extLst>
            <c:ext xmlns:c16="http://schemas.microsoft.com/office/drawing/2014/chart" uri="{C3380CC4-5D6E-409C-BE32-E72D297353CC}">
              <c16:uniqueId val="{00000000-F9DC-42B5-8F04-833A79781D14}"/>
            </c:ext>
          </c:extLst>
        </c:ser>
        <c:dLbls>
          <c:showLegendKey val="0"/>
          <c:showVal val="0"/>
          <c:showCatName val="0"/>
          <c:showSerName val="0"/>
          <c:showPercent val="0"/>
          <c:showBubbleSize val="0"/>
        </c:dLbls>
        <c:gapWidth val="219"/>
        <c:overlap val="-27"/>
        <c:axId val="429903528"/>
        <c:axId val="429903920"/>
      </c:barChart>
      <c:catAx>
        <c:axId val="4299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3920"/>
        <c:crosses val="autoZero"/>
        <c:auto val="1"/>
        <c:lblAlgn val="ctr"/>
        <c:lblOffset val="100"/>
        <c:noMultiLvlLbl val="0"/>
      </c:catAx>
      <c:valAx>
        <c:axId val="429903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3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r>
              <a:rPr lang="en-US" sz="3000" b="1"/>
              <a:t>LOGRO (%) RESPECTO AL PROGRAMADO PARA LA VIGENCIA 2025.</a:t>
            </a:r>
            <a:r>
              <a:rPr lang="en-US" sz="3000" b="1" baseline="0"/>
              <a:t> CORTE   31 DICIEMBRE</a:t>
            </a:r>
            <a:endParaRPr lang="en-US" sz="3000" b="1"/>
          </a:p>
        </c:rich>
      </c:tx>
      <c:overlay val="0"/>
      <c:spPr>
        <a:noFill/>
        <a:ln>
          <a:noFill/>
        </a:ln>
        <a:effectLst/>
      </c:spPr>
      <c:txPr>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'SEGUIMIENTO DEL PLAN DE DESARRO'!$M$2</c:f>
              <c:strCache>
                <c:ptCount val="1"/>
                <c:pt idx="0">
                  <c:v>LOGRO (%) RESPECTO AL PROGRAMADO PARA LA VIGENCIA 2025 CORTE  DICIEMBRE</c:v>
                </c:pt>
              </c:strCache>
            </c:strRef>
          </c:tx>
          <c:spPr>
            <a:solidFill>
              <a:schemeClr val="accent6">
                <a:lumMod val="60000"/>
                <a:lumOff val="40000"/>
              </a:schemeClr>
            </a:solidFill>
            <a:ln>
              <a:noFill/>
            </a:ln>
            <a:effectLst/>
            <a:sp3d/>
          </c:spPr>
          <c:invertIfNegative val="0"/>
          <c:dPt>
            <c:idx val="0"/>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01-E3AA-49A1-B44B-0EE209BF3D41}"/>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E3AA-49A1-B44B-0EE209BF3D41}"/>
              </c:ext>
            </c:extLst>
          </c:dPt>
          <c:dPt>
            <c:idx val="3"/>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04-E3AA-49A1-B44B-0EE209BF3D41}"/>
              </c:ext>
            </c:extLst>
          </c:dPt>
          <c:dPt>
            <c:idx val="4"/>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05-E3AA-49A1-B44B-0EE209BF3D41}"/>
              </c:ext>
            </c:extLst>
          </c:dPt>
          <c:dPt>
            <c:idx val="5"/>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06-E3AA-49A1-B44B-0EE209BF3D41}"/>
              </c:ext>
            </c:extLst>
          </c:dPt>
          <c:dPt>
            <c:idx val="6"/>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07-E3AA-49A1-B44B-0EE209BF3D41}"/>
              </c:ext>
            </c:extLst>
          </c:dPt>
          <c:dLbls>
            <c:dLbl>
              <c:idx val="0"/>
              <c:layout>
                <c:manualLayout>
                  <c:x val="1.2033694344163659E-2"/>
                  <c:y val="-1.5625000000000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AA-49A1-B44B-0EE209BF3D41}"/>
                </c:ext>
              </c:extLst>
            </c:dLbl>
            <c:dLbl>
              <c:idx val="1"/>
              <c:layout>
                <c:manualLayout>
                  <c:x val="1.5643802647412757E-2"/>
                  <c:y val="-2.0089285714285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AA-49A1-B44B-0EE209BF3D41}"/>
                </c:ext>
              </c:extLst>
            </c:dLbl>
            <c:dLbl>
              <c:idx val="2"/>
              <c:layout>
                <c:manualLayout>
                  <c:x val="2.1660649819494584E-2"/>
                  <c:y val="-2.9017857142857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AA-49A1-B44B-0EE209BF3D41}"/>
                </c:ext>
              </c:extLst>
            </c:dLbl>
            <c:dLbl>
              <c:idx val="3"/>
              <c:layout>
                <c:manualLayout>
                  <c:x val="9.433962264150943E-3"/>
                  <c:y val="-3.3482142857142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AA-49A1-B44B-0EE209BF3D41}"/>
                </c:ext>
              </c:extLst>
            </c:dLbl>
            <c:dLbl>
              <c:idx val="4"/>
              <c:layout>
                <c:manualLayout>
                  <c:x val="1.6509433962264151E-2"/>
                  <c:y val="-1.7857142857142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AA-49A1-B44B-0EE209BF3D41}"/>
                </c:ext>
              </c:extLst>
            </c:dLbl>
            <c:dLbl>
              <c:idx val="5"/>
              <c:layout>
                <c:manualLayout>
                  <c:x val="9.433962264150943E-3"/>
                  <c:y val="-8.9285714285714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AA-49A1-B44B-0EE209BF3D41}"/>
                </c:ext>
              </c:extLst>
            </c:dLbl>
            <c:dLbl>
              <c:idx val="6"/>
              <c:layout>
                <c:manualLayout>
                  <c:x val="1.179245283018868E-2"/>
                  <c:y val="-1.7857142857142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AA-49A1-B44B-0EE209BF3D41}"/>
                </c:ext>
              </c:extLst>
            </c:dLbl>
            <c:spPr>
              <a:noFill/>
              <a:ln>
                <a:noFill/>
              </a:ln>
              <a:effectLst/>
            </c:spPr>
            <c:txPr>
              <a:bodyPr rot="0" spcFirstLastPara="1" vertOverflow="ellipsis" vert="horz" wrap="square" lIns="38100" tIns="19050" rIns="38100" bIns="19050" anchor="ctr" anchorCtr="1">
                <a:spAutoFit/>
              </a:bodyPr>
              <a:lstStyle/>
              <a:p>
                <a:pPr>
                  <a:defRPr sz="3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DESARRO'!$M$3:$M$9</c:f>
              <c:numCache>
                <c:formatCode>0.0%</c:formatCode>
                <c:ptCount val="7"/>
                <c:pt idx="0">
                  <c:v>0.82048422327474613</c:v>
                </c:pt>
                <c:pt idx="1">
                  <c:v>0.8432679950416061</c:v>
                </c:pt>
                <c:pt idx="2">
                  <c:v>0.71761002085769865</c:v>
                </c:pt>
                <c:pt idx="3">
                  <c:v>0.7753023577263406</c:v>
                </c:pt>
                <c:pt idx="4">
                  <c:v>0.83345436158257791</c:v>
                </c:pt>
                <c:pt idx="5">
                  <c:v>0.88279501521466452</c:v>
                </c:pt>
                <c:pt idx="6">
                  <c:v>0.87047558922558932</c:v>
                </c:pt>
              </c:numCache>
            </c:numRef>
          </c:val>
          <c:extLst>
            <c:ext xmlns:c16="http://schemas.microsoft.com/office/drawing/2014/chart" uri="{C3380CC4-5D6E-409C-BE32-E72D297353CC}">
              <c16:uniqueId val="{00000000-E3AA-49A1-B44B-0EE209BF3D41}"/>
            </c:ext>
          </c:extLst>
        </c:ser>
        <c:dLbls>
          <c:showLegendKey val="0"/>
          <c:showVal val="0"/>
          <c:showCatName val="0"/>
          <c:showSerName val="0"/>
          <c:showPercent val="0"/>
          <c:showBubbleSize val="0"/>
        </c:dLbls>
        <c:gapWidth val="150"/>
        <c:shape val="box"/>
        <c:axId val="862079136"/>
        <c:axId val="862080384"/>
        <c:axId val="0"/>
      </c:bar3DChart>
      <c:catAx>
        <c:axId val="862079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500" b="0" i="0" u="none" strike="noStrike" kern="1200" baseline="0">
                <a:solidFill>
                  <a:schemeClr val="tx1">
                    <a:lumMod val="65000"/>
                    <a:lumOff val="35000"/>
                  </a:schemeClr>
                </a:solidFill>
                <a:latin typeface="+mn-lt"/>
                <a:ea typeface="+mn-ea"/>
                <a:cs typeface="+mn-cs"/>
              </a:defRPr>
            </a:pPr>
            <a:endParaRPr lang="es-CO"/>
          </a:p>
        </c:txPr>
        <c:crossAx val="862080384"/>
        <c:crosses val="autoZero"/>
        <c:auto val="1"/>
        <c:lblAlgn val="ctr"/>
        <c:lblOffset val="100"/>
        <c:noMultiLvlLbl val="0"/>
      </c:catAx>
      <c:valAx>
        <c:axId val="862080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86207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s-CO" sz="1300" b="1" i="0" u="none" strike="noStrike" baseline="0">
                <a:effectLst/>
              </a:rPr>
              <a:t>Componente Impulsor de avance: Economía Popular y Emprendimiento. Avance ponderado corte </a:t>
            </a:r>
            <a:r>
              <a:rPr lang="en-US" sz="1300" b="0" i="0" u="none" strike="noStrike" baseline="0">
                <a:effectLst/>
              </a:rPr>
              <a:t>31 de diciembre de 2025</a:t>
            </a:r>
            <a:endParaRPr lang="en-US" sz="1300"/>
          </a:p>
        </c:rich>
      </c:tx>
      <c:layout>
        <c:manualLayout>
          <c:xMode val="edge"/>
          <c:yMode val="edge"/>
          <c:x val="0.1369972102942997"/>
          <c:y val="1.0666666666666666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342543487989029E-2"/>
          <c:y val="0.22495999999999999"/>
          <c:w val="0.91492267215086631"/>
          <c:h val="0.52721048376539437"/>
        </c:manualLayout>
      </c:layout>
      <c:barChart>
        <c:barDir val="col"/>
        <c:grouping val="clustered"/>
        <c:varyColors val="0"/>
        <c:ser>
          <c:idx val="0"/>
          <c:order val="0"/>
          <c:tx>
            <c:strRef>
              <c:f>'GRAFICAS DESARROLLO ECONOMICO'!$D$52</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ECONOMICO'!$D$53:$D$57</c:f>
              <c:numCache>
                <c:formatCode>0.00%</c:formatCode>
                <c:ptCount val="5"/>
                <c:pt idx="0">
                  <c:v>0.48483416666666668</c:v>
                </c:pt>
                <c:pt idx="1">
                  <c:v>0.34800000000000003</c:v>
                </c:pt>
                <c:pt idx="2">
                  <c:v>0.61399999999999999</c:v>
                </c:pt>
                <c:pt idx="3">
                  <c:v>0.13416666666666666</c:v>
                </c:pt>
                <c:pt idx="4">
                  <c:v>0.56505833333333333</c:v>
                </c:pt>
              </c:numCache>
            </c:numRef>
          </c:val>
          <c:extLst>
            <c:ext xmlns:c16="http://schemas.microsoft.com/office/drawing/2014/chart" uri="{C3380CC4-5D6E-409C-BE32-E72D297353CC}">
              <c16:uniqueId val="{00000000-B765-4E89-AD88-6F0841C209D3}"/>
            </c:ext>
          </c:extLst>
        </c:ser>
        <c:dLbls>
          <c:showLegendKey val="0"/>
          <c:showVal val="0"/>
          <c:showCatName val="0"/>
          <c:showSerName val="0"/>
          <c:showPercent val="0"/>
          <c:showBubbleSize val="0"/>
        </c:dLbls>
        <c:gapWidth val="219"/>
        <c:overlap val="-27"/>
        <c:axId val="429905096"/>
        <c:axId val="430641032"/>
      </c:barChart>
      <c:catAx>
        <c:axId val="429905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1032"/>
        <c:crosses val="autoZero"/>
        <c:auto val="1"/>
        <c:lblAlgn val="ctr"/>
        <c:lblOffset val="100"/>
        <c:noMultiLvlLbl val="0"/>
      </c:catAx>
      <c:valAx>
        <c:axId val="4306410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5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Desarrollo Agropecuario. Avance ponderado corte  </a:t>
            </a:r>
            <a:r>
              <a:rPr lang="en-US" sz="1400" b="0" i="0" u="none" strike="noStrike" baseline="0">
                <a:effectLst/>
              </a:rPr>
              <a:t>31 de diciembre de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DESARROLLO ECONOMICO'!$D$68</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ECONOMICO'!$D$69:$D$72</c:f>
              <c:numCache>
                <c:formatCode>0.00%</c:formatCode>
                <c:ptCount val="4"/>
                <c:pt idx="0">
                  <c:v>0.45634263977502848</c:v>
                </c:pt>
                <c:pt idx="1">
                  <c:v>0.46807583474816072</c:v>
                </c:pt>
                <c:pt idx="2">
                  <c:v>0.42956188389923333</c:v>
                </c:pt>
                <c:pt idx="3">
                  <c:v>0.40749999999999997</c:v>
                </c:pt>
              </c:numCache>
            </c:numRef>
          </c:val>
          <c:extLst>
            <c:ext xmlns:c16="http://schemas.microsoft.com/office/drawing/2014/chart" uri="{C3380CC4-5D6E-409C-BE32-E72D297353CC}">
              <c16:uniqueId val="{00000000-15C6-4C28-B56D-9CBF78667EA5}"/>
            </c:ext>
          </c:extLst>
        </c:ser>
        <c:dLbls>
          <c:showLegendKey val="0"/>
          <c:showVal val="0"/>
          <c:showCatName val="0"/>
          <c:showSerName val="0"/>
          <c:showPercent val="0"/>
          <c:showBubbleSize val="0"/>
        </c:dLbls>
        <c:gapWidth val="219"/>
        <c:overlap val="-27"/>
        <c:axId val="430640640"/>
        <c:axId val="430641424"/>
      </c:barChart>
      <c:catAx>
        <c:axId val="43064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1424"/>
        <c:crosses val="autoZero"/>
        <c:auto val="1"/>
        <c:lblAlgn val="ctr"/>
        <c:lblOffset val="100"/>
        <c:noMultiLvlLbl val="0"/>
      </c:catAx>
      <c:valAx>
        <c:axId val="430641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Sistema Integral de Abastecimiento del Distrito. Avance ponderado corte  </a:t>
            </a:r>
            <a:r>
              <a:rPr lang="en-US" sz="1400" b="0" i="0" u="none" strike="noStrike" baseline="0">
                <a:effectLst/>
              </a:rPr>
              <a:t>31 de diciembre de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DESARROLLO ECONOMICO'!$D$77</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ECONOMICO'!$D$78:$D$80</c:f>
              <c:numCache>
                <c:formatCode>0.00%</c:formatCode>
                <c:ptCount val="3"/>
                <c:pt idx="0">
                  <c:v>0.33761249999999998</c:v>
                </c:pt>
                <c:pt idx="1">
                  <c:v>0.23833333333333331</c:v>
                </c:pt>
                <c:pt idx="2">
                  <c:v>0.63544999999999996</c:v>
                </c:pt>
              </c:numCache>
            </c:numRef>
          </c:val>
          <c:extLst>
            <c:ext xmlns:c16="http://schemas.microsoft.com/office/drawing/2014/chart" uri="{C3380CC4-5D6E-409C-BE32-E72D297353CC}">
              <c16:uniqueId val="{00000000-3C54-4F61-9031-245665C3076B}"/>
            </c:ext>
          </c:extLst>
        </c:ser>
        <c:dLbls>
          <c:showLegendKey val="0"/>
          <c:showVal val="0"/>
          <c:showCatName val="0"/>
          <c:showSerName val="0"/>
          <c:showPercent val="0"/>
          <c:showBubbleSize val="0"/>
        </c:dLbls>
        <c:gapWidth val="219"/>
        <c:overlap val="-27"/>
        <c:axId val="430635936"/>
        <c:axId val="430639856"/>
      </c:barChart>
      <c:catAx>
        <c:axId val="43063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9856"/>
        <c:crosses val="autoZero"/>
        <c:auto val="1"/>
        <c:lblAlgn val="ctr"/>
        <c:lblOffset val="100"/>
        <c:noMultiLvlLbl val="0"/>
      </c:catAx>
      <c:valAx>
        <c:axId val="430639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a:t>AVANCE   LINEA ESTRATEGICA DESARROLLO </a:t>
            </a:r>
            <a:r>
              <a:rPr lang="en-US" sz="1440" b="1" i="0" u="none" strike="noStrike" kern="1200" spc="0" baseline="0">
                <a:solidFill>
                  <a:srgbClr val="000000">
                    <a:lumMod val="65000"/>
                    <a:lumOff val="35000"/>
                  </a:srgbClr>
                </a:solidFill>
                <a:latin typeface="+mn-lt"/>
                <a:ea typeface="+mn-ea"/>
                <a:cs typeface="+mn-cs"/>
              </a:rPr>
              <a:t>ECONOMICO. COMPONENTES IMPULSORES DE AVANCE.  VIGENCIA 2025  CORTE </a:t>
            </a:r>
            <a:r>
              <a:rPr lang="es-CO" sz="1440" b="1" i="0" u="none" strike="noStrike" kern="1200" spc="0" baseline="0">
                <a:solidFill>
                  <a:srgbClr val="000000">
                    <a:lumMod val="65000"/>
                    <a:lumOff val="35000"/>
                  </a:srgbClr>
                </a:solidFill>
                <a:latin typeface="+mn-lt"/>
                <a:ea typeface="+mn-ea"/>
                <a:cs typeface="+mn-cs"/>
              </a:rPr>
              <a:t> 31 DE DICIEMBRE DE 2025</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ECONOMICO'!$D$87</c:f>
              <c:strCache>
                <c:ptCount val="1"/>
                <c:pt idx="0">
                  <c:v>AVANCE  PARCIAL VIGENCIA  CORTE 31 DE DICIEMBRE DE 2025</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1BD3-498C-BC59-DB211E7E96E8}"/>
              </c:ext>
            </c:extLst>
          </c:dPt>
          <c:dPt>
            <c:idx val="1"/>
            <c:invertIfNegative val="0"/>
            <c:bubble3D val="0"/>
            <c:spPr>
              <a:solidFill>
                <a:srgbClr val="FFFF00"/>
              </a:solidFill>
              <a:ln>
                <a:noFill/>
              </a:ln>
              <a:effectLst/>
            </c:spPr>
            <c:extLst>
              <c:ext xmlns:c16="http://schemas.microsoft.com/office/drawing/2014/chart" uri="{C3380CC4-5D6E-409C-BE32-E72D297353CC}">
                <c16:uniqueId val="{00000001-1BD3-498C-BC59-DB211E7E96E8}"/>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2-1BD3-498C-BC59-DB211E7E96E8}"/>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6-1BD3-498C-BC59-DB211E7E96E8}"/>
              </c:ext>
            </c:extLst>
          </c:dPt>
          <c:dPt>
            <c:idx val="4"/>
            <c:invertIfNegative val="0"/>
            <c:bubble3D val="0"/>
            <c:spPr>
              <a:solidFill>
                <a:srgbClr val="FFFF00"/>
              </a:solidFill>
              <a:ln>
                <a:noFill/>
              </a:ln>
              <a:effectLst/>
            </c:spPr>
            <c:extLst>
              <c:ext xmlns:c16="http://schemas.microsoft.com/office/drawing/2014/chart" uri="{C3380CC4-5D6E-409C-BE32-E72D297353CC}">
                <c16:uniqueId val="{00000008-1BD3-498C-BC59-DB211E7E96E8}"/>
              </c:ext>
            </c:extLst>
          </c:dPt>
          <c:dPt>
            <c:idx val="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1BD3-498C-BC59-DB211E7E96E8}"/>
              </c:ext>
            </c:extLst>
          </c:dPt>
          <c:dPt>
            <c:idx val="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C-1BD3-498C-BC59-DB211E7E96E8}"/>
              </c:ext>
            </c:extLst>
          </c:dPt>
          <c:dPt>
            <c:idx val="7"/>
            <c:invertIfNegative val="0"/>
            <c:bubble3D val="0"/>
            <c:spPr>
              <a:solidFill>
                <a:srgbClr val="FFFF00"/>
              </a:solidFill>
              <a:ln>
                <a:noFill/>
              </a:ln>
              <a:effectLst/>
            </c:spPr>
            <c:extLst>
              <c:ext xmlns:c16="http://schemas.microsoft.com/office/drawing/2014/chart" uri="{C3380CC4-5D6E-409C-BE32-E72D297353CC}">
                <c16:uniqueId val="{00000003-1BD3-498C-BC59-DB211E7E96E8}"/>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ECONOMICO'!$C$88:$C$95</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ECONOMICO'!$D$88:$D$95</c:f>
              <c:numCache>
                <c:formatCode>0.0%</c:formatCode>
                <c:ptCount val="8"/>
                <c:pt idx="0">
                  <c:v>0.7753023577263406</c:v>
                </c:pt>
                <c:pt idx="1">
                  <c:v>0.72499999999999998</c:v>
                </c:pt>
                <c:pt idx="2">
                  <c:v>0.82645833333333329</c:v>
                </c:pt>
                <c:pt idx="3">
                  <c:v>0.87481481481481482</c:v>
                </c:pt>
                <c:pt idx="4">
                  <c:v>0.68520833333333331</c:v>
                </c:pt>
                <c:pt idx="5">
                  <c:v>0.81744444444444453</c:v>
                </c:pt>
                <c:pt idx="6">
                  <c:v>0.78319057815845816</c:v>
                </c:pt>
                <c:pt idx="7">
                  <c:v>0.71499999999999997</c:v>
                </c:pt>
              </c:numCache>
            </c:numRef>
          </c:val>
          <c:extLst>
            <c:ext xmlns:c16="http://schemas.microsoft.com/office/drawing/2014/chart" uri="{C3380CC4-5D6E-409C-BE32-E72D297353CC}">
              <c16:uniqueId val="{00000000-1BD3-498C-BC59-DB211E7E96E8}"/>
            </c:ext>
          </c:extLst>
        </c:ser>
        <c:dLbls>
          <c:showLegendKey val="0"/>
          <c:showVal val="0"/>
          <c:showCatName val="0"/>
          <c:showSerName val="0"/>
          <c:showPercent val="0"/>
          <c:showBubbleSize val="0"/>
        </c:dLbls>
        <c:gapWidth val="219"/>
        <c:overlap val="-27"/>
        <c:axId val="430636720"/>
        <c:axId val="430637112"/>
      </c:barChart>
      <c:catAx>
        <c:axId val="43063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637112"/>
        <c:crosses val="autoZero"/>
        <c:auto val="1"/>
        <c:lblAlgn val="ctr"/>
        <c:lblOffset val="100"/>
        <c:noMultiLvlLbl val="0"/>
      </c:catAx>
      <c:valAx>
        <c:axId val="430637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636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DIVERSIFICACIÓN ECONOMICA.  </a:t>
            </a:r>
            <a:r>
              <a:rPr lang="en-US" sz="1200" b="1" i="0" u="none" strike="noStrike" kern="1200" spc="0" baseline="0">
                <a:solidFill>
                  <a:srgbClr val="000000">
                    <a:lumMod val="65000"/>
                    <a:lumOff val="35000"/>
                  </a:srgbClr>
                </a:solidFill>
                <a:latin typeface="+mn-lt"/>
                <a:ea typeface="+mn-ea"/>
                <a:cs typeface="+mn-cs"/>
              </a:rPr>
              <a:t>PROGRAMAS. CORTE </a:t>
            </a:r>
            <a:r>
              <a:rPr lang="es-CO" sz="1200" b="1" i="0" u="none" strike="noStrike" kern="1200" spc="0" baseline="0">
                <a:solidFill>
                  <a:srgbClr val="000000">
                    <a:lumMod val="65000"/>
                    <a:lumOff val="35000"/>
                  </a:srgbClr>
                </a:solidFill>
                <a:latin typeface="+mn-lt"/>
                <a:ea typeface="+mn-ea"/>
                <a:cs typeface="+mn-cs"/>
              </a:rPr>
              <a:t> 31 DE DICIEMBRE DE 2025</a:t>
            </a:r>
          </a:p>
        </c:rich>
      </c:tx>
      <c:layout>
        <c:manualLayout>
          <c:xMode val="edge"/>
          <c:yMode val="edge"/>
          <c:x val="0.21659499582609482"/>
          <c:y val="1.787310098302055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ECONOMICO'!$E$37</c:f>
              <c:strCache>
                <c:ptCount val="1"/>
                <c:pt idx="0">
                  <c:v>AVANCE CUATRIENIO IMPULSOR DE AVANCE: DIVERSIFICACIÓN ECONOMICA.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D05E-4BEF-A25E-CC21F9DACC82}"/>
              </c:ext>
            </c:extLst>
          </c:dPt>
          <c:dPt>
            <c:idx val="2"/>
            <c:invertIfNegative val="0"/>
            <c:bubble3D val="0"/>
            <c:spPr>
              <a:solidFill>
                <a:srgbClr val="00B050"/>
              </a:solidFill>
              <a:ln>
                <a:noFill/>
              </a:ln>
              <a:effectLst/>
            </c:spPr>
            <c:extLst>
              <c:ext xmlns:c16="http://schemas.microsoft.com/office/drawing/2014/chart" uri="{C3380CC4-5D6E-409C-BE32-E72D297353CC}">
                <c16:uniqueId val="{00000003-FEC8-41A9-8BD4-30B4BCFFDE2C}"/>
              </c:ext>
            </c:extLst>
          </c:dPt>
          <c:dPt>
            <c:idx val="3"/>
            <c:invertIfNegative val="0"/>
            <c:bubble3D val="0"/>
            <c:spPr>
              <a:solidFill>
                <a:srgbClr val="00B050"/>
              </a:solidFill>
              <a:ln>
                <a:noFill/>
              </a:ln>
              <a:effectLst/>
            </c:spPr>
            <c:extLst>
              <c:ext xmlns:c16="http://schemas.microsoft.com/office/drawing/2014/chart" uri="{C3380CC4-5D6E-409C-BE32-E72D297353CC}">
                <c16:uniqueId val="{00000004-026F-44DF-8144-F1FBD74FC99A}"/>
              </c:ext>
            </c:extLst>
          </c:dPt>
          <c:dPt>
            <c:idx val="4"/>
            <c:invertIfNegative val="0"/>
            <c:bubble3D val="0"/>
            <c:spPr>
              <a:solidFill>
                <a:srgbClr val="00B050"/>
              </a:solidFill>
              <a:ln>
                <a:noFill/>
              </a:ln>
              <a:effectLst/>
            </c:spPr>
            <c:extLst>
              <c:ext xmlns:c16="http://schemas.microsoft.com/office/drawing/2014/chart" uri="{C3380CC4-5D6E-409C-BE32-E72D297353CC}">
                <c16:uniqueId val="{00000007-026F-44DF-8144-F1FBD74FC99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ECONOMICO'!$E$38:$E$42</c:f>
              <c:numCache>
                <c:formatCode>0.0%</c:formatCode>
                <c:ptCount val="5"/>
                <c:pt idx="0">
                  <c:v>0.58986633269720101</c:v>
                </c:pt>
                <c:pt idx="1">
                  <c:v>0.72187500000000004</c:v>
                </c:pt>
                <c:pt idx="2">
                  <c:v>0.55159033078880404</c:v>
                </c:pt>
                <c:pt idx="3">
                  <c:v>0.56099999999999994</c:v>
                </c:pt>
                <c:pt idx="4">
                  <c:v>0.52500000000000002</c:v>
                </c:pt>
              </c:numCache>
            </c:numRef>
          </c:val>
          <c:extLst>
            <c:ext xmlns:c16="http://schemas.microsoft.com/office/drawing/2014/chart" uri="{C3380CC4-5D6E-409C-BE32-E72D297353CC}">
              <c16:uniqueId val="{00000000-D05E-4BEF-A25E-CC21F9DACC82}"/>
            </c:ext>
          </c:extLst>
        </c:ser>
        <c:dLbls>
          <c:showLegendKey val="0"/>
          <c:showVal val="0"/>
          <c:showCatName val="0"/>
          <c:showSerName val="0"/>
          <c:showPercent val="0"/>
          <c:showBubbleSize val="0"/>
        </c:dLbls>
        <c:gapWidth val="219"/>
        <c:overlap val="-27"/>
        <c:axId val="430641816"/>
        <c:axId val="430637504"/>
      </c:barChart>
      <c:catAx>
        <c:axId val="43064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7504"/>
        <c:crosses val="autoZero"/>
        <c:auto val="1"/>
        <c:lblAlgn val="ctr"/>
        <c:lblOffset val="100"/>
        <c:noMultiLvlLbl val="0"/>
      </c:catAx>
      <c:valAx>
        <c:axId val="430637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41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TRABAJO DECENTE Y CIERRE DE BRECHAS. PROGRAMAS.</a:t>
            </a:r>
            <a:r>
              <a:rPr lang="en-US" baseline="0"/>
              <a:t> </a:t>
            </a:r>
            <a:r>
              <a:rPr lang="en-US"/>
              <a:t> </a:t>
            </a:r>
            <a:r>
              <a:rPr lang="es-CO" sz="1400" b="1" i="0" u="none" strike="noStrike" kern="1200" spc="0" baseline="0">
                <a:solidFill>
                  <a:srgbClr val="000000">
                    <a:lumMod val="65000"/>
                    <a:lumOff val="35000"/>
                  </a:srgbClr>
                </a:solidFill>
                <a:latin typeface="+mn-lt"/>
                <a:ea typeface="+mn-ea"/>
                <a:cs typeface="+mn-cs"/>
              </a:rPr>
              <a:t>31 DE DICIEMBRE DE 2025</a:t>
            </a:r>
          </a:p>
        </c:rich>
      </c:tx>
      <c:layout>
        <c:manualLayout>
          <c:xMode val="edge"/>
          <c:yMode val="edge"/>
          <c:x val="0.11124830648298435"/>
          <c:y val="1.716738197424892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ECONOMICO'!$E$44</c:f>
              <c:strCache>
                <c:ptCount val="1"/>
                <c:pt idx="0">
                  <c:v>AVANCE CUATRIENIO IMPULSOR DE AVANCE: TRABAJO DECENTE Y CIERRE DE BRECHAS. CORTE 31 DE DICIEMBRE DE 2025</c:v>
                </c:pt>
              </c:strCache>
            </c:strRef>
          </c:tx>
          <c:spPr>
            <a:solidFill>
              <a:srgbClr val="FFFF0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F01B-46CA-973F-721BE79685A6}"/>
              </c:ext>
            </c:extLst>
          </c:dPt>
          <c:dPt>
            <c:idx val="1"/>
            <c:invertIfNegative val="0"/>
            <c:bubble3D val="0"/>
            <c:spPr>
              <a:solidFill>
                <a:srgbClr val="FFFF00"/>
              </a:solidFill>
              <a:ln>
                <a:noFill/>
              </a:ln>
              <a:effectLst/>
            </c:spPr>
            <c:extLst>
              <c:ext xmlns:c16="http://schemas.microsoft.com/office/drawing/2014/chart" uri="{C3380CC4-5D6E-409C-BE32-E72D297353CC}">
                <c16:uniqueId val="{00000003-7DB3-4CD1-8BD6-E5B2D96DCAB5}"/>
              </c:ext>
            </c:extLst>
          </c:dPt>
          <c:dPt>
            <c:idx val="2"/>
            <c:invertIfNegative val="0"/>
            <c:bubble3D val="0"/>
            <c:spPr>
              <a:solidFill>
                <a:srgbClr val="00B050"/>
              </a:solidFill>
              <a:ln>
                <a:noFill/>
              </a:ln>
              <a:effectLst/>
            </c:spPr>
            <c:extLst>
              <c:ext xmlns:c16="http://schemas.microsoft.com/office/drawing/2014/chart" uri="{C3380CC4-5D6E-409C-BE32-E72D297353CC}">
                <c16:uniqueId val="{00000009-DC91-48A1-A33E-B229E7DD1EAB}"/>
              </c:ext>
            </c:extLst>
          </c:dPt>
          <c:dPt>
            <c:idx val="3"/>
            <c:invertIfNegative val="0"/>
            <c:bubble3D val="0"/>
            <c:spPr>
              <a:solidFill>
                <a:srgbClr val="00B050"/>
              </a:solidFill>
              <a:ln>
                <a:noFill/>
              </a:ln>
              <a:effectLst/>
            </c:spPr>
            <c:extLst>
              <c:ext xmlns:c16="http://schemas.microsoft.com/office/drawing/2014/chart" uri="{C3380CC4-5D6E-409C-BE32-E72D297353CC}">
                <c16:uniqueId val="{0000000D-DC91-48A1-A33E-B229E7DD1EA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ECONOMICO'!$E$45:$E$48</c:f>
              <c:numCache>
                <c:formatCode>0.0%</c:formatCode>
                <c:ptCount val="4"/>
                <c:pt idx="0">
                  <c:v>0.55999045584045581</c:v>
                </c:pt>
                <c:pt idx="1">
                  <c:v>0.27314444444444441</c:v>
                </c:pt>
                <c:pt idx="2">
                  <c:v>0.54374999999999996</c:v>
                </c:pt>
                <c:pt idx="3">
                  <c:v>0.86307692307692307</c:v>
                </c:pt>
              </c:numCache>
            </c:numRef>
          </c:val>
          <c:extLst>
            <c:ext xmlns:c16="http://schemas.microsoft.com/office/drawing/2014/chart" uri="{C3380CC4-5D6E-409C-BE32-E72D297353CC}">
              <c16:uniqueId val="{00000000-F01B-46CA-973F-721BE79685A6}"/>
            </c:ext>
          </c:extLst>
        </c:ser>
        <c:dLbls>
          <c:showLegendKey val="0"/>
          <c:showVal val="0"/>
          <c:showCatName val="0"/>
          <c:showSerName val="0"/>
          <c:showPercent val="0"/>
          <c:showBubbleSize val="0"/>
        </c:dLbls>
        <c:gapWidth val="219"/>
        <c:overlap val="-27"/>
        <c:axId val="430638288"/>
        <c:axId val="430634368"/>
      </c:barChart>
      <c:catAx>
        <c:axId val="4306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634368"/>
        <c:crosses val="autoZero"/>
        <c:auto val="1"/>
        <c:lblAlgn val="ctr"/>
        <c:lblOffset val="100"/>
        <c:noMultiLvlLbl val="0"/>
      </c:catAx>
      <c:valAx>
        <c:axId val="430634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r>
              <a:rPr lang="en-US"/>
              <a:t>AVANCE CUATRIENIO IMPULSOR DE AVANCE: ECONOMÍA </a:t>
            </a:r>
            <a:r>
              <a:rPr lang="en-US" sz="1400" b="1" i="0" u="none" strike="noStrike" kern="1200" spc="0" baseline="0">
                <a:solidFill>
                  <a:srgbClr val="000000">
                    <a:lumMod val="65000"/>
                    <a:lumOff val="35000"/>
                  </a:srgbClr>
                </a:solidFill>
                <a:latin typeface="+mn-lt"/>
                <a:ea typeface="+mn-ea"/>
                <a:cs typeface="+mn-cs"/>
              </a:rPr>
              <a:t>POPULAR Y EMPRENDIMIENTO. PROGRAMAS. CORTE </a:t>
            </a:r>
            <a:r>
              <a:rPr lang="es-CO" sz="1400" b="1" i="0" u="none" strike="noStrike" kern="1200" spc="0" baseline="0">
                <a:solidFill>
                  <a:srgbClr val="000000">
                    <a:lumMod val="65000"/>
                    <a:lumOff val="35000"/>
                  </a:srgbClr>
                </a:solidFill>
                <a:latin typeface="+mn-lt"/>
                <a:ea typeface="+mn-ea"/>
                <a:cs typeface="+mn-cs"/>
              </a:rPr>
              <a:t> 31 DE DICIEMBRE DE 2025</a:t>
            </a:r>
          </a:p>
          <a:p>
            <a:pPr marL="0" marR="0" indent="0" algn="ctr" defTabSz="914400" rtl="0" eaLnBrk="1" fontAlgn="auto" latinLnBrk="0" hangingPunct="1">
              <a:lnSpc>
                <a:spcPct val="100000"/>
              </a:lnSpc>
              <a:spcBef>
                <a:spcPts val="0"/>
              </a:spcBef>
              <a:spcAft>
                <a:spcPts val="0"/>
              </a:spcAft>
              <a:buClrTx/>
              <a:buSzTx/>
              <a:buFontTx/>
              <a:buNone/>
              <a:tabLst/>
              <a:defRPr b="1">
                <a:solidFill>
                  <a:srgbClr val="000000">
                    <a:lumMod val="65000"/>
                    <a:lumOff val="35000"/>
                  </a:srgbClr>
                </a:solidFill>
              </a:defRPr>
            </a:pPr>
            <a:endParaRPr lang="en-US"/>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ECONOMICO'!$E$52</c:f>
              <c:strCache>
                <c:ptCount val="1"/>
                <c:pt idx="0">
                  <c:v>AVANCE CUATRIENIO IMPULSOR DE AVANCE: ECONOMÍA POPULAR Y EMPRENDIMIENTO. CORTE 31 DE DICIEMBRE DE 2025</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E083-4793-AB7A-0936F2F81E39}"/>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5FE9-42B2-B92F-723C0149AF76}"/>
              </c:ext>
            </c:extLst>
          </c:dPt>
          <c:dPt>
            <c:idx val="2"/>
            <c:invertIfNegative val="0"/>
            <c:bubble3D val="0"/>
            <c:spPr>
              <a:solidFill>
                <a:srgbClr val="00B050"/>
              </a:solidFill>
              <a:ln>
                <a:noFill/>
              </a:ln>
              <a:effectLst/>
            </c:spPr>
            <c:extLst>
              <c:ext xmlns:c16="http://schemas.microsoft.com/office/drawing/2014/chart" uri="{C3380CC4-5D6E-409C-BE32-E72D297353CC}">
                <c16:uniqueId val="{00000005-2B42-4E23-A6F8-027ECDF074C7}"/>
              </c:ext>
            </c:extLst>
          </c:dPt>
          <c:dPt>
            <c:idx val="3"/>
            <c:invertIfNegative val="0"/>
            <c:bubble3D val="0"/>
            <c:spPr>
              <a:solidFill>
                <a:srgbClr val="FF0000"/>
              </a:solidFill>
              <a:ln>
                <a:noFill/>
              </a:ln>
              <a:effectLst/>
            </c:spPr>
            <c:extLst>
              <c:ext xmlns:c16="http://schemas.microsoft.com/office/drawing/2014/chart" uri="{C3380CC4-5D6E-409C-BE32-E72D297353CC}">
                <c16:uniqueId val="{00000009-D558-4CAC-9C24-97D6640660BB}"/>
              </c:ext>
            </c:extLst>
          </c:dPt>
          <c:dPt>
            <c:idx val="4"/>
            <c:invertIfNegative val="0"/>
            <c:bubble3D val="0"/>
            <c:spPr>
              <a:solidFill>
                <a:srgbClr val="00B050"/>
              </a:solidFill>
              <a:ln>
                <a:noFill/>
              </a:ln>
              <a:effectLst/>
            </c:spPr>
            <c:extLst>
              <c:ext xmlns:c16="http://schemas.microsoft.com/office/drawing/2014/chart" uri="{C3380CC4-5D6E-409C-BE32-E72D297353CC}">
                <c16:uniqueId val="{00000006-6566-4409-92D8-A5C0C4337B3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ECONOMICO'!$E$53:$E$57</c:f>
              <c:numCache>
                <c:formatCode>0.0%</c:formatCode>
                <c:ptCount val="5"/>
                <c:pt idx="0">
                  <c:v>0.39236458333333335</c:v>
                </c:pt>
                <c:pt idx="1">
                  <c:v>0.3838333333333333</c:v>
                </c:pt>
                <c:pt idx="2">
                  <c:v>0.46825</c:v>
                </c:pt>
                <c:pt idx="3">
                  <c:v>0.13416666666666666</c:v>
                </c:pt>
                <c:pt idx="4">
                  <c:v>0.58320833333333333</c:v>
                </c:pt>
              </c:numCache>
            </c:numRef>
          </c:val>
          <c:extLst>
            <c:ext xmlns:c16="http://schemas.microsoft.com/office/drawing/2014/chart" uri="{C3380CC4-5D6E-409C-BE32-E72D297353CC}">
              <c16:uniqueId val="{00000000-E083-4793-AB7A-0936F2F81E39}"/>
            </c:ext>
          </c:extLst>
        </c:ser>
        <c:dLbls>
          <c:showLegendKey val="0"/>
          <c:showVal val="0"/>
          <c:showCatName val="0"/>
          <c:showSerName val="0"/>
          <c:showPercent val="0"/>
          <c:showBubbleSize val="0"/>
        </c:dLbls>
        <c:gapWidth val="219"/>
        <c:overlap val="-27"/>
        <c:axId val="430638680"/>
        <c:axId val="430639072"/>
      </c:barChart>
      <c:catAx>
        <c:axId val="430638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639072"/>
        <c:crosses val="autoZero"/>
        <c:auto val="1"/>
        <c:lblAlgn val="ctr"/>
        <c:lblOffset val="100"/>
        <c:noMultiLvlLbl val="0"/>
      </c:catAx>
      <c:valAx>
        <c:axId val="430639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8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DESARROLLO AGROPECUARIO. PROGRAMAS. </a:t>
            </a:r>
            <a:r>
              <a:rPr lang="en-US" sz="1400" b="1" i="0" u="none" strike="noStrike" kern="1200" spc="0" baseline="0">
                <a:solidFill>
                  <a:srgbClr val="000000">
                    <a:lumMod val="65000"/>
                    <a:lumOff val="35000"/>
                  </a:srgbClr>
                </a:solidFill>
                <a:latin typeface="+mn-lt"/>
                <a:ea typeface="+mn-ea"/>
                <a:cs typeface="+mn-cs"/>
              </a:rPr>
              <a:t>CORTE </a:t>
            </a:r>
            <a:r>
              <a:rPr lang="es-CO" sz="1400" b="1" i="0" u="none" strike="noStrike" kern="1200" spc="0" baseline="0">
                <a:solidFill>
                  <a:srgbClr val="000000">
                    <a:lumMod val="65000"/>
                    <a:lumOff val="35000"/>
                  </a:srgbClr>
                </a:solidFill>
                <a:latin typeface="+mn-lt"/>
                <a:ea typeface="+mn-ea"/>
                <a:cs typeface="+mn-cs"/>
              </a:rPr>
              <a:t> 31 DE DICIEMBRE DE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ECONOMICO'!$E$68</c:f>
              <c:strCache>
                <c:ptCount val="1"/>
                <c:pt idx="0">
                  <c:v>AVANCE CUATRIENIO IMPULSOR DE AVANCE: DESARROLLO AGROPECUARIO. CORTE 31 DE DICIEMBRE DE 2025</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4E2F-4CDE-AE4A-1582419D4603}"/>
              </c:ext>
            </c:extLst>
          </c:dPt>
          <c:dPt>
            <c:idx val="1"/>
            <c:invertIfNegative val="0"/>
            <c:bubble3D val="0"/>
            <c:spPr>
              <a:solidFill>
                <a:srgbClr val="00B050"/>
              </a:solidFill>
              <a:ln>
                <a:noFill/>
              </a:ln>
              <a:effectLst/>
            </c:spPr>
            <c:extLst>
              <c:ext xmlns:c16="http://schemas.microsoft.com/office/drawing/2014/chart" uri="{C3380CC4-5D6E-409C-BE32-E72D297353CC}">
                <c16:uniqueId val="{00000007-EE3C-41D1-9CE8-34500446DA29}"/>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EE3C-41D1-9CE8-34500446DA29}"/>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6-EE3C-41D1-9CE8-34500446DA2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ECONOMICO'!$E$69:$E$72</c:f>
              <c:numCache>
                <c:formatCode>0.0%</c:formatCode>
                <c:ptCount val="4"/>
                <c:pt idx="0">
                  <c:v>0.40940952229628164</c:v>
                </c:pt>
                <c:pt idx="1">
                  <c:v>0.46807583474816078</c:v>
                </c:pt>
                <c:pt idx="2">
                  <c:v>0.40181939880735063</c:v>
                </c:pt>
                <c:pt idx="3">
                  <c:v>0.35833333333333334</c:v>
                </c:pt>
              </c:numCache>
            </c:numRef>
          </c:val>
          <c:extLst>
            <c:ext xmlns:c16="http://schemas.microsoft.com/office/drawing/2014/chart" uri="{C3380CC4-5D6E-409C-BE32-E72D297353CC}">
              <c16:uniqueId val="{00000000-4E2F-4CDE-AE4A-1582419D4603}"/>
            </c:ext>
          </c:extLst>
        </c:ser>
        <c:dLbls>
          <c:showLegendKey val="0"/>
          <c:showVal val="0"/>
          <c:showCatName val="0"/>
          <c:showSerName val="0"/>
          <c:showPercent val="0"/>
          <c:showBubbleSize val="0"/>
        </c:dLbls>
        <c:gapWidth val="219"/>
        <c:overlap val="-27"/>
        <c:axId val="430550160"/>
        <c:axId val="430550944"/>
      </c:barChart>
      <c:catAx>
        <c:axId val="43055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50944"/>
        <c:crosses val="autoZero"/>
        <c:auto val="1"/>
        <c:lblAlgn val="ctr"/>
        <c:lblOffset val="100"/>
        <c:noMultiLvlLbl val="0"/>
      </c:catAx>
      <c:valAx>
        <c:axId val="430550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5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ESTRATÉGICA </a:t>
            </a:r>
            <a:r>
              <a:rPr lang="es-CO" sz="1400" b="1" i="0" u="none" strike="noStrike" kern="1200" spc="0" baseline="0">
                <a:solidFill>
                  <a:srgbClr val="000000">
                    <a:lumMod val="65000"/>
                    <a:lumOff val="35000"/>
                  </a:srgbClr>
                </a:solidFill>
                <a:latin typeface="+mn-lt"/>
                <a:ea typeface="+mn-ea"/>
                <a:cs typeface="+mn-cs"/>
              </a:rPr>
              <a:t>DESARROLLO ECONOMICO. COMPARATIVO DICIEMBRE  DE  2024.  31 DE DICIEMBRE DE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ECONOMICO'!$D$4</c:f>
              <c:strCache>
                <c:ptCount val="1"/>
                <c:pt idx="0">
                  <c:v>ESPERADO  AL CUATRIENIO CORTE DICIEMBRE 2025</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0.54819427564280709</c:v>
                </c:pt>
                <c:pt idx="1">
                  <c:v>0.65333333333333332</c:v>
                </c:pt>
                <c:pt idx="2">
                  <c:v>0.57802777777777781</c:v>
                </c:pt>
                <c:pt idx="3">
                  <c:v>0.44333803418803419</c:v>
                </c:pt>
                <c:pt idx="4">
                  <c:v>0.45191666666666674</c:v>
                </c:pt>
                <c:pt idx="5">
                  <c:v>0.6744342025757889</c:v>
                </c:pt>
                <c:pt idx="6">
                  <c:v>0.58398769273582618</c:v>
                </c:pt>
                <c:pt idx="7">
                  <c:v>0.45232222222222218</c:v>
                </c:pt>
              </c:numCache>
            </c:numRef>
          </c:val>
          <c:extLst>
            <c:ext xmlns:c16="http://schemas.microsoft.com/office/drawing/2014/chart" uri="{C3380CC4-5D6E-409C-BE32-E72D297353CC}">
              <c16:uniqueId val="{00000000-C894-4C9D-A53F-9B1304CE9BDD}"/>
            </c:ext>
          </c:extLst>
        </c:ser>
        <c:ser>
          <c:idx val="1"/>
          <c:order val="1"/>
          <c:tx>
            <c:strRef>
              <c:f>'GRAFICAS DESARROLLO ECONOMICO'!$E$4</c:f>
              <c:strCache>
                <c:ptCount val="1"/>
                <c:pt idx="0">
                  <c:v>LOGRO VIGENCIA  CORTE 31 DE DICIEMBRE DE 2025 RESPECTO AL CUATRIENIO</c:v>
                </c:pt>
              </c:strCache>
            </c:strRef>
          </c:tx>
          <c:spPr>
            <a:solidFill>
              <a:srgbClr val="FFFF0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3-C894-4C9D-A53F-9B1304CE9BDD}"/>
              </c:ext>
            </c:extLst>
          </c:dPt>
          <c:dPt>
            <c:idx val="1"/>
            <c:invertIfNegative val="0"/>
            <c:bubble3D val="0"/>
            <c:spPr>
              <a:solidFill>
                <a:srgbClr val="00B050"/>
              </a:solidFill>
              <a:ln>
                <a:noFill/>
              </a:ln>
              <a:effectLst/>
            </c:spPr>
            <c:extLst>
              <c:ext xmlns:c16="http://schemas.microsoft.com/office/drawing/2014/chart" uri="{C3380CC4-5D6E-409C-BE32-E72D297353CC}">
                <c16:uniqueId val="{0000000A-C0BA-40B2-9663-33ACE4B1D134}"/>
              </c:ext>
            </c:extLst>
          </c:dPt>
          <c:dPt>
            <c:idx val="2"/>
            <c:invertIfNegative val="0"/>
            <c:bubble3D val="0"/>
            <c:spPr>
              <a:solidFill>
                <a:srgbClr val="00B050"/>
              </a:solidFill>
              <a:ln>
                <a:noFill/>
              </a:ln>
              <a:effectLst/>
            </c:spPr>
            <c:extLst>
              <c:ext xmlns:c16="http://schemas.microsoft.com/office/drawing/2014/chart" uri="{C3380CC4-5D6E-409C-BE32-E72D297353CC}">
                <c16:uniqueId val="{00000009-B6A6-4C90-ABED-FE86DD58B698}"/>
              </c:ext>
            </c:extLst>
          </c:dPt>
          <c:dPt>
            <c:idx val="3"/>
            <c:invertIfNegative val="0"/>
            <c:bubble3D val="0"/>
            <c:spPr>
              <a:solidFill>
                <a:srgbClr val="00B050"/>
              </a:solidFill>
              <a:ln>
                <a:noFill/>
              </a:ln>
              <a:effectLst/>
            </c:spPr>
            <c:extLst>
              <c:ext xmlns:c16="http://schemas.microsoft.com/office/drawing/2014/chart" uri="{C3380CC4-5D6E-409C-BE32-E72D297353CC}">
                <c16:uniqueId val="{0000000A-78FE-47AC-9C17-3B63D07B865D}"/>
              </c:ext>
            </c:extLst>
          </c:dPt>
          <c:dPt>
            <c:idx val="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081E-4BF4-A474-BCF318852FA6}"/>
              </c:ext>
            </c:extLst>
          </c:dPt>
          <c:dPt>
            <c:idx val="5"/>
            <c:invertIfNegative val="0"/>
            <c:bubble3D val="0"/>
            <c:spPr>
              <a:solidFill>
                <a:srgbClr val="00B050"/>
              </a:solidFill>
              <a:ln>
                <a:noFill/>
              </a:ln>
              <a:effectLst/>
            </c:spPr>
            <c:extLst>
              <c:ext xmlns:c16="http://schemas.microsoft.com/office/drawing/2014/chart" uri="{C3380CC4-5D6E-409C-BE32-E72D297353CC}">
                <c16:uniqueId val="{00000005-081E-4BF4-A474-BCF318852FA6}"/>
              </c:ext>
            </c:extLst>
          </c:dPt>
          <c:dPt>
            <c:idx val="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081E-4BF4-A474-BCF318852FA6}"/>
              </c:ext>
            </c:extLst>
          </c:dPt>
          <c:dPt>
            <c:idx val="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E-71E8-434F-BC87-18F3FB97C97C}"/>
              </c:ext>
            </c:extLst>
          </c:dPt>
          <c:dLbls>
            <c:dLbl>
              <c:idx val="0"/>
              <c:layout>
                <c:manualLayout>
                  <c:x val="3.1959092361776927E-3"/>
                  <c:y val="-1.1075913809346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94-4C9D-A53F-9B1304CE9BDD}"/>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0.48812060511247513</c:v>
                </c:pt>
                <c:pt idx="1">
                  <c:v>0.59083333333333332</c:v>
                </c:pt>
                <c:pt idx="2">
                  <c:v>0.58986633269720101</c:v>
                </c:pt>
                <c:pt idx="3">
                  <c:v>0.55999045584045581</c:v>
                </c:pt>
                <c:pt idx="4">
                  <c:v>0.39236458333333335</c:v>
                </c:pt>
                <c:pt idx="5">
                  <c:v>0.51483556384227602</c:v>
                </c:pt>
                <c:pt idx="6">
                  <c:v>0.40940952229628164</c:v>
                </c:pt>
                <c:pt idx="7">
                  <c:v>0.35954444444444444</c:v>
                </c:pt>
              </c:numCache>
            </c:numRef>
          </c:val>
          <c:extLst>
            <c:ext xmlns:c16="http://schemas.microsoft.com/office/drawing/2014/chart" uri="{C3380CC4-5D6E-409C-BE32-E72D297353CC}">
              <c16:uniqueId val="{00000001-C894-4C9D-A53F-9B1304CE9BDD}"/>
            </c:ext>
          </c:extLst>
        </c:ser>
        <c:ser>
          <c:idx val="2"/>
          <c:order val="2"/>
          <c:tx>
            <c:strRef>
              <c:f>'GRAFICAS DESARROLLO ECONOMICO'!$F$4</c:f>
              <c:strCache>
                <c:ptCount val="1"/>
                <c:pt idx="0">
                  <c:v>LOGRO VIGENCIA  CORTE DICIEMBRE  2024 RESPECTO AL CUATRIENIO</c:v>
                </c:pt>
              </c:strCache>
            </c:strRef>
          </c:tx>
          <c:spPr>
            <a:solidFill>
              <a:srgbClr val="7030A0"/>
            </a:solidFill>
            <a:ln>
              <a:noFill/>
            </a:ln>
            <a:effectLst/>
          </c:spPr>
          <c:invertIfNegative val="0"/>
          <c:dLbls>
            <c:dLbl>
              <c:idx val="0"/>
              <c:layout>
                <c:manualLayout>
                  <c:x val="9.5877277085330784E-3"/>
                  <c:y val="-6.70805764637716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BA-40B2-9663-33ACE4B1D134}"/>
                </c:ext>
              </c:extLst>
            </c:dLbl>
            <c:dLbl>
              <c:idx val="1"/>
              <c:layout>
                <c:manualLayout>
                  <c:x val="7.9897730904442306E-3"/>
                  <c:y val="-6.70805764637716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BA-40B2-9663-33ACE4B1D134}"/>
                </c:ext>
              </c:extLst>
            </c:dLbl>
            <c:dLbl>
              <c:idx val="2"/>
              <c:layout>
                <c:manualLayout>
                  <c:x val="1.2783636944710712E-2"/>
                  <c:y val="3.6589828027808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1E-4BF4-A474-BCF318852FA6}"/>
                </c:ext>
              </c:extLst>
            </c:dLbl>
            <c:dLbl>
              <c:idx val="3"/>
              <c:layout>
                <c:manualLayout>
                  <c:x val="1.2783636944710771E-2"/>
                  <c:y val="-3.65898280278086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1E-4BF4-A474-BCF318852FA6}"/>
                </c:ext>
              </c:extLst>
            </c:dLbl>
            <c:dLbl>
              <c:idx val="5"/>
              <c:layout>
                <c:manualLayout>
                  <c:x val="7.98977309044423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BA-40B2-9663-33ACE4B1D134}"/>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ECONOMICO'!$F$5:$F$12</c:f>
              <c:numCache>
                <c:formatCode>0.0%</c:formatCode>
                <c:ptCount val="8"/>
                <c:pt idx="0">
                  <c:v>0.23537004965661618</c:v>
                </c:pt>
                <c:pt idx="1">
                  <c:v>0.37</c:v>
                </c:pt>
                <c:pt idx="2">
                  <c:v>0.23097916666666671</c:v>
                </c:pt>
                <c:pt idx="3">
                  <c:v>0.28650042735042736</c:v>
                </c:pt>
                <c:pt idx="4">
                  <c:v>0.17056250000000003</c:v>
                </c:pt>
                <c:pt idx="5">
                  <c:v>0.16850000000000001</c:v>
                </c:pt>
                <c:pt idx="6">
                  <c:v>0.19428158691255218</c:v>
                </c:pt>
                <c:pt idx="7">
                  <c:v>0.22676666666666667</c:v>
                </c:pt>
              </c:numCache>
            </c:numRef>
          </c:val>
          <c:extLst>
            <c:ext xmlns:c16="http://schemas.microsoft.com/office/drawing/2014/chart" uri="{C3380CC4-5D6E-409C-BE32-E72D297353CC}">
              <c16:uniqueId val="{00000002-C894-4C9D-A53F-9B1304CE9BDD}"/>
            </c:ext>
          </c:extLst>
        </c:ser>
        <c:dLbls>
          <c:showLegendKey val="0"/>
          <c:showVal val="0"/>
          <c:showCatName val="0"/>
          <c:showSerName val="0"/>
          <c:showPercent val="0"/>
          <c:showBubbleSize val="0"/>
        </c:dLbls>
        <c:gapWidth val="219"/>
        <c:overlap val="-27"/>
        <c:axId val="430546632"/>
        <c:axId val="430547024"/>
      </c:barChart>
      <c:catAx>
        <c:axId val="43054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47024"/>
        <c:crosses val="autoZero"/>
        <c:auto val="1"/>
        <c:lblAlgn val="ctr"/>
        <c:lblOffset val="100"/>
        <c:noMultiLvlLbl val="0"/>
      </c:catAx>
      <c:valAx>
        <c:axId val="430547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4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'GRAFICAS DESARROLLO ECONOMICO'!$E$32</c:f>
              <c:strCache>
                <c:ptCount val="1"/>
                <c:pt idx="0">
                  <c:v>AVANCE CUATRIENIO IMPULSOR DE AVANCE: COMPETITIVIDAD E INNOVACIÓN. CORTE 31 DE DICIEMBRE DE 2025</c:v>
                </c:pt>
              </c:strCache>
            </c:strRef>
          </c:tx>
          <c:spPr>
            <a:solidFill>
              <a:schemeClr val="bg1"/>
            </a:solidFill>
            <a:ln>
              <a:noFill/>
            </a:ln>
            <a:effectLst/>
            <a:sp3d/>
          </c:spPr>
          <c:invertIfNegative val="0"/>
          <c:dPt>
            <c:idx val="0"/>
            <c:invertIfNegative val="0"/>
            <c:bubble3D val="0"/>
            <c:spPr>
              <a:solidFill>
                <a:srgbClr val="00B050"/>
              </a:solidFill>
              <a:ln>
                <a:noFill/>
              </a:ln>
              <a:effectLst/>
              <a:sp3d/>
            </c:spPr>
            <c:extLst>
              <c:ext xmlns:c16="http://schemas.microsoft.com/office/drawing/2014/chart" uri="{C3380CC4-5D6E-409C-BE32-E72D297353CC}">
                <c16:uniqueId val="{00000001-4FC7-4E61-B963-E130AB4C9B92}"/>
              </c:ext>
            </c:extLst>
          </c:dPt>
          <c:dPt>
            <c:idx val="1"/>
            <c:invertIfNegative val="0"/>
            <c:bubble3D val="0"/>
            <c:spPr>
              <a:solidFill>
                <a:srgbClr val="00B050"/>
              </a:solidFill>
              <a:ln>
                <a:noFill/>
              </a:ln>
              <a:effectLst/>
              <a:sp3d/>
            </c:spPr>
            <c:extLst>
              <c:ext xmlns:c16="http://schemas.microsoft.com/office/drawing/2014/chart" uri="{C3380CC4-5D6E-409C-BE32-E72D297353CC}">
                <c16:uniqueId val="{00000002-4FC7-4E61-B963-E130AB4C9B92}"/>
              </c:ext>
            </c:extLst>
          </c:dPt>
          <c:dPt>
            <c:idx val="2"/>
            <c:invertIfNegative val="0"/>
            <c:bubble3D val="0"/>
            <c:spPr>
              <a:solidFill>
                <a:srgbClr val="00B050"/>
              </a:solidFill>
              <a:ln>
                <a:noFill/>
              </a:ln>
              <a:effectLst/>
              <a:sp3d/>
            </c:spPr>
            <c:extLst>
              <c:ext xmlns:c16="http://schemas.microsoft.com/office/drawing/2014/chart" uri="{C3380CC4-5D6E-409C-BE32-E72D297353CC}">
                <c16:uniqueId val="{00000003-4FC7-4E61-B963-E130AB4C9B92}"/>
              </c:ext>
            </c:extLst>
          </c:dPt>
          <c:dLbls>
            <c:dLbl>
              <c:idx val="0"/>
              <c:layout>
                <c:manualLayout>
                  <c:x val="1.5618027666220438E-2"/>
                  <c:y val="-5.4054054054054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C7-4E61-B963-E130AB4C9B92}"/>
                </c:ext>
              </c:extLst>
            </c:dLbl>
            <c:dLbl>
              <c:idx val="1"/>
              <c:layout>
                <c:manualLayout>
                  <c:x val="2.3427041499330573E-2"/>
                  <c:y val="-6.006006006006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C7-4E61-B963-E130AB4C9B92}"/>
                </c:ext>
              </c:extLst>
            </c:dLbl>
            <c:dLbl>
              <c:idx val="2"/>
              <c:layout>
                <c:manualLayout>
                  <c:x val="2.0080321285140562E-2"/>
                  <c:y val="-5.70570570570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C7-4E61-B963-E130AB4C9B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ECONOMICO'!$C$33:$C$35</c:f>
              <c:strCache>
                <c:ptCount val="3"/>
                <c:pt idx="0">
                  <c:v> Competitividad e innovación
</c:v>
                </c:pt>
                <c:pt idx="1">
                  <c:v> UNIDOS POR UNA CARTAGENA COMPETITIVA E INNOVADORA</c:v>
                </c:pt>
                <c:pt idx="2">
                  <c:v> CARTAGENA GLOBAL</c:v>
                </c:pt>
              </c:strCache>
            </c:strRef>
          </c:cat>
          <c:val>
            <c:numRef>
              <c:f>'GRAFICAS DESARROLLO ECONOMICO'!$E$33:$E$35</c:f>
              <c:numCache>
                <c:formatCode>0.0%</c:formatCode>
                <c:ptCount val="3"/>
                <c:pt idx="0">
                  <c:v>0.59083333333333332</c:v>
                </c:pt>
                <c:pt idx="1">
                  <c:v>0.73</c:v>
                </c:pt>
                <c:pt idx="2">
                  <c:v>0.45166666666666666</c:v>
                </c:pt>
              </c:numCache>
            </c:numRef>
          </c:val>
          <c:extLst>
            <c:ext xmlns:c16="http://schemas.microsoft.com/office/drawing/2014/chart" uri="{C3380CC4-5D6E-409C-BE32-E72D297353CC}">
              <c16:uniqueId val="{00000000-4FC7-4E61-B963-E130AB4C9B92}"/>
            </c:ext>
          </c:extLst>
        </c:ser>
        <c:dLbls>
          <c:showLegendKey val="0"/>
          <c:showVal val="0"/>
          <c:showCatName val="0"/>
          <c:showSerName val="0"/>
          <c:showPercent val="0"/>
          <c:showBubbleSize val="0"/>
        </c:dLbls>
        <c:gapWidth val="150"/>
        <c:shape val="box"/>
        <c:axId val="430549768"/>
        <c:axId val="430547416"/>
        <c:axId val="0"/>
      </c:bar3DChart>
      <c:catAx>
        <c:axId val="4305497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30547416"/>
        <c:crosses val="autoZero"/>
        <c:auto val="1"/>
        <c:lblAlgn val="ctr"/>
        <c:lblOffset val="100"/>
        <c:noMultiLvlLbl val="0"/>
      </c:catAx>
      <c:valAx>
        <c:axId val="430547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9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r>
              <a:rPr lang="en-US"/>
              <a:t>LOGRO ALCANZADO  RESPECTO AL CUATRIENIO (PONDERADOR) 2025. CORTE</a:t>
            </a:r>
            <a:r>
              <a:rPr lang="en-US" baseline="0"/>
              <a:t>  31 DICIEMBRE</a:t>
            </a:r>
            <a:endParaRPr lang="en-US"/>
          </a:p>
        </c:rich>
      </c:tx>
      <c:overlay val="0"/>
      <c:spPr>
        <a:noFill/>
        <a:ln>
          <a:noFill/>
        </a:ln>
        <a:effectLst/>
      </c:spPr>
      <c:txPr>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'SEGUIMIENTO DEL PLAN DE DESARRO'!$R$2</c:f>
              <c:strCache>
                <c:ptCount val="1"/>
                <c:pt idx="0">
                  <c:v>LOGRO  (%) META PRODUCTO RESPECTO AL PROGRAMADO CUATRIENIO PARCIAL DICIEMBRE 31 DE 2025 (PONDERADOR)</c:v>
                </c:pt>
              </c:strCache>
            </c:strRef>
          </c:tx>
          <c:spPr>
            <a:solidFill>
              <a:schemeClr val="accent1"/>
            </a:solidFill>
            <a:ln>
              <a:noFill/>
            </a:ln>
            <a:effectLst/>
            <a:sp3d/>
          </c:spPr>
          <c:invertIfNegative val="0"/>
          <c:dLbls>
            <c:dLbl>
              <c:idx val="0"/>
              <c:layout>
                <c:manualLayout>
                  <c:x val="1.1661807580174927E-2"/>
                  <c:y val="-2.6420079260237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D-42AD-94E5-CA62C659DC6D}"/>
                </c:ext>
              </c:extLst>
            </c:dLbl>
            <c:dLbl>
              <c:idx val="1"/>
              <c:layout>
                <c:manualLayout>
                  <c:x val="1.020408163265306E-2"/>
                  <c:y val="-2.3778071334214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3D-42AD-94E5-CA62C659DC6D}"/>
                </c:ext>
              </c:extLst>
            </c:dLbl>
            <c:dLbl>
              <c:idx val="2"/>
              <c:layout>
                <c:manualLayout>
                  <c:x val="1.1661807580174927E-2"/>
                  <c:y val="-1.0568031704095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3D-42AD-94E5-CA62C659DC6D}"/>
                </c:ext>
              </c:extLst>
            </c:dLbl>
            <c:dLbl>
              <c:idx val="3"/>
              <c:layout>
                <c:manualLayout>
                  <c:x val="1.1661807580174927E-2"/>
                  <c:y val="-2.3778071334214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3D-42AD-94E5-CA62C659DC6D}"/>
                </c:ext>
              </c:extLst>
            </c:dLbl>
            <c:dLbl>
              <c:idx val="4"/>
              <c:layout>
                <c:manualLayout>
                  <c:x val="8.7463556851311956E-3"/>
                  <c:y val="-2.1136063408190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3D-42AD-94E5-CA62C659DC6D}"/>
                </c:ext>
              </c:extLst>
            </c:dLbl>
            <c:dLbl>
              <c:idx val="5"/>
              <c:layout>
                <c:manualLayout>
                  <c:x val="2.7696793002915453E-2"/>
                  <c:y val="-2.11360634081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3D-42AD-94E5-CA62C659DC6D}"/>
                </c:ext>
              </c:extLst>
            </c:dLbl>
            <c:dLbl>
              <c:idx val="6"/>
              <c:layout>
                <c:manualLayout>
                  <c:x val="1.8950437317784258E-2"/>
                  <c:y val="-2.6420079260237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3D-42AD-94E5-CA62C659DC6D}"/>
                </c:ext>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DESARRO'!$R$3:$R$9</c:f>
              <c:numCache>
                <c:formatCode>0.0%</c:formatCode>
                <c:ptCount val="7"/>
                <c:pt idx="0">
                  <c:v>0.45032111099312705</c:v>
                </c:pt>
                <c:pt idx="1">
                  <c:v>0.4762878624287053</c:v>
                </c:pt>
                <c:pt idx="2">
                  <c:v>0.48090129462939524</c:v>
                </c:pt>
                <c:pt idx="3">
                  <c:v>0.47717044466787067</c:v>
                </c:pt>
                <c:pt idx="4">
                  <c:v>0.37052459010275579</c:v>
                </c:pt>
                <c:pt idx="5">
                  <c:v>0.50552782129594898</c:v>
                </c:pt>
                <c:pt idx="6">
                  <c:v>0.33027767045454548</c:v>
                </c:pt>
              </c:numCache>
            </c:numRef>
          </c:val>
          <c:extLst>
            <c:ext xmlns:c16="http://schemas.microsoft.com/office/drawing/2014/chart" uri="{C3380CC4-5D6E-409C-BE32-E72D297353CC}">
              <c16:uniqueId val="{00000000-EE3D-42AD-94E5-CA62C659DC6D}"/>
            </c:ext>
          </c:extLst>
        </c:ser>
        <c:dLbls>
          <c:showLegendKey val="0"/>
          <c:showVal val="0"/>
          <c:showCatName val="0"/>
          <c:showSerName val="0"/>
          <c:showPercent val="0"/>
          <c:showBubbleSize val="0"/>
        </c:dLbls>
        <c:gapWidth val="150"/>
        <c:shape val="box"/>
        <c:axId val="2063392575"/>
        <c:axId val="2063397983"/>
        <c:axId val="0"/>
      </c:bar3DChart>
      <c:catAx>
        <c:axId val="20633925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s-CO"/>
          </a:p>
        </c:txPr>
        <c:crossAx val="2063397983"/>
        <c:crosses val="autoZero"/>
        <c:auto val="1"/>
        <c:lblAlgn val="ctr"/>
        <c:lblOffset val="100"/>
        <c:noMultiLvlLbl val="0"/>
      </c:catAx>
      <c:valAx>
        <c:axId val="20633979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s-CO"/>
          </a:p>
        </c:txPr>
        <c:crossAx val="2063392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ECONOMICO'!$E$60</c:f>
              <c:strCache>
                <c:ptCount val="1"/>
                <c:pt idx="0">
                  <c:v>AVANCE CUATRIENIO IMPULSOR DE AVANCE: TURISMO SOSTENIBLE Y RESPONSABLE.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2-D409-49E4-9707-4E6C1BE4CB99}"/>
              </c:ext>
            </c:extLst>
          </c:dPt>
          <c:dPt>
            <c:idx val="1"/>
            <c:invertIfNegative val="0"/>
            <c:bubble3D val="0"/>
            <c:spPr>
              <a:solidFill>
                <a:srgbClr val="00B050"/>
              </a:solidFill>
              <a:ln>
                <a:noFill/>
              </a:ln>
              <a:effectLst/>
            </c:spPr>
            <c:extLst>
              <c:ext xmlns:c16="http://schemas.microsoft.com/office/drawing/2014/chart" uri="{C3380CC4-5D6E-409C-BE32-E72D297353CC}">
                <c16:uniqueId val="{00000004-D409-49E4-9707-4E6C1BE4CB99}"/>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6-D409-49E4-9707-4E6C1BE4CB99}"/>
              </c:ext>
            </c:extLst>
          </c:dPt>
          <c:dPt>
            <c:idx val="3"/>
            <c:invertIfNegative val="0"/>
            <c:bubble3D val="0"/>
            <c:spPr>
              <a:solidFill>
                <a:srgbClr val="00B050"/>
              </a:solidFill>
              <a:ln>
                <a:noFill/>
              </a:ln>
              <a:effectLst/>
            </c:spPr>
            <c:extLst>
              <c:ext xmlns:c16="http://schemas.microsoft.com/office/drawing/2014/chart" uri="{C3380CC4-5D6E-409C-BE32-E72D297353CC}">
                <c16:uniqueId val="{0000000B-A55E-4F8D-A95B-3BC4D1B089B4}"/>
              </c:ext>
            </c:extLst>
          </c:dPt>
          <c:dPt>
            <c:idx val="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7776-425F-BF58-3CD827018A91}"/>
              </c:ext>
            </c:extLst>
          </c:dPt>
          <c:dPt>
            <c:idx val="5"/>
            <c:invertIfNegative val="0"/>
            <c:bubble3D val="0"/>
            <c:spPr>
              <a:solidFill>
                <a:srgbClr val="00B050"/>
              </a:solidFill>
              <a:ln>
                <a:noFill/>
              </a:ln>
              <a:effectLst/>
            </c:spPr>
            <c:extLst>
              <c:ext xmlns:c16="http://schemas.microsoft.com/office/drawing/2014/chart" uri="{C3380CC4-5D6E-409C-BE32-E72D297353CC}">
                <c16:uniqueId val="{00000006-09FD-4C14-8284-C25D99EA594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ECONOMICO'!$C$61:$C$66</c:f>
              <c:strCache>
                <c:ptCount val="6"/>
                <c:pt idx="0">
                  <c:v>Turismo Sostenible y Responsable
</c:v>
                </c:pt>
                <c:pt idx="1">
                  <c:v> PROMOCIÓN TURÍSTICA</c:v>
                </c:pt>
                <c:pt idx="2">
                  <c:v> SEGURIDAD, VIGILANCIA Y CONTROL PARA UN TURISMO RESPONSABLE</c:v>
                </c:pt>
                <c:pt idx="3">
                  <c:v> TURISMO SOSTENIBLE E INCLUYENTE CON LAS COMUNIDADES</c:v>
                </c:pt>
                <c:pt idx="4">
                  <c:v> INFRAESTRUCTURA TURÍSTICA PARA EL DESARROLLO</c:v>
                </c:pt>
                <c:pt idx="5">
                  <c:v> GOBERNANZA Y FORTALECIMIENTO INSTITUCIONAL PARA UNA CIUDAD DE DERECHOS, RESPONSABLE Y COMPETITIVA</c:v>
                </c:pt>
              </c:strCache>
            </c:strRef>
          </c:cat>
          <c:val>
            <c:numRef>
              <c:f>'GRAFICAS DESARROLLO ECONOMICO'!$E$61:$E$66</c:f>
              <c:numCache>
                <c:formatCode>0.0%</c:formatCode>
                <c:ptCount val="6"/>
                <c:pt idx="0">
                  <c:v>0.51483556384227602</c:v>
                </c:pt>
                <c:pt idx="1">
                  <c:v>0.69166666666666665</c:v>
                </c:pt>
                <c:pt idx="2">
                  <c:v>0.40173611111111107</c:v>
                </c:pt>
                <c:pt idx="3">
                  <c:v>0.46258059698915827</c:v>
                </c:pt>
                <c:pt idx="4">
                  <c:v>0.35152777777777777</c:v>
                </c:pt>
                <c:pt idx="5">
                  <c:v>0.66666666666666663</c:v>
                </c:pt>
              </c:numCache>
            </c:numRef>
          </c:val>
          <c:extLst>
            <c:ext xmlns:c16="http://schemas.microsoft.com/office/drawing/2014/chart" uri="{C3380CC4-5D6E-409C-BE32-E72D297353CC}">
              <c16:uniqueId val="{00000000-D409-49E4-9707-4E6C1BE4CB99}"/>
            </c:ext>
          </c:extLst>
        </c:ser>
        <c:dLbls>
          <c:showLegendKey val="0"/>
          <c:showVal val="0"/>
          <c:showCatName val="0"/>
          <c:showSerName val="0"/>
          <c:showPercent val="0"/>
          <c:showBubbleSize val="0"/>
        </c:dLbls>
        <c:gapWidth val="219"/>
        <c:overlap val="-27"/>
        <c:axId val="430545064"/>
        <c:axId val="430551336"/>
      </c:barChart>
      <c:catAx>
        <c:axId val="430545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51336"/>
        <c:crosses val="autoZero"/>
        <c:auto val="1"/>
        <c:lblAlgn val="ctr"/>
        <c:lblOffset val="100"/>
        <c:noMultiLvlLbl val="0"/>
      </c:catAx>
      <c:valAx>
        <c:axId val="430551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5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a:t>
            </a:r>
            <a:r>
              <a:rPr lang="en-US" sz="1400" b="1" i="0" u="none" strike="noStrike" kern="1200" spc="0" baseline="0">
                <a:solidFill>
                  <a:srgbClr val="000000">
                    <a:lumMod val="65000"/>
                    <a:lumOff val="35000"/>
                  </a:srgbClr>
                </a:solidFill>
                <a:latin typeface="+mn-lt"/>
                <a:ea typeface="+mn-ea"/>
                <a:cs typeface="+mn-cs"/>
              </a:rPr>
              <a:t>SISTEMA INTEGRAL DE ABASTECIMIENTO. PROGRAMAS. CORTE </a:t>
            </a:r>
            <a:r>
              <a:rPr lang="es-CO" sz="1400" b="1" i="0" u="none" strike="noStrike" kern="1200" spc="0" baseline="0">
                <a:solidFill>
                  <a:srgbClr val="000000">
                    <a:lumMod val="65000"/>
                    <a:lumOff val="35000"/>
                  </a:srgbClr>
                </a:solidFill>
                <a:latin typeface="+mn-lt"/>
                <a:ea typeface="+mn-ea"/>
                <a:cs typeface="+mn-cs"/>
              </a:rPr>
              <a:t> 31 DE DICIEMBRE DE 2025</a:t>
            </a:r>
          </a:p>
        </c:rich>
      </c:tx>
      <c:layout>
        <c:manualLayout>
          <c:xMode val="edge"/>
          <c:yMode val="edge"/>
          <c:x val="0.11504157599958124"/>
          <c:y val="2.721518987341772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ECONOMICO'!$E$77</c:f>
              <c:strCache>
                <c:ptCount val="1"/>
                <c:pt idx="0">
                  <c:v>AVANCE CUATRIENIO IMPULSOR DE AVANCE: SISTEMA INTEGRAL DE ABASTECIMIENTO. CORTE 31 DE DICIEMBRE DE 2025</c:v>
                </c:pt>
              </c:strCache>
            </c:strRef>
          </c:tx>
          <c:spPr>
            <a:solidFill>
              <a:srgbClr val="92D050"/>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ED8C-4AAC-8DF7-9FF5F4E56278}"/>
              </c:ext>
            </c:extLst>
          </c:dPt>
          <c:dPt>
            <c:idx val="1"/>
            <c:invertIfNegative val="0"/>
            <c:bubble3D val="0"/>
            <c:spPr>
              <a:solidFill>
                <a:srgbClr val="FF9999"/>
              </a:solidFill>
              <a:ln>
                <a:noFill/>
              </a:ln>
              <a:effectLst/>
            </c:spPr>
            <c:extLst>
              <c:ext xmlns:c16="http://schemas.microsoft.com/office/drawing/2014/chart" uri="{C3380CC4-5D6E-409C-BE32-E72D297353CC}">
                <c16:uniqueId val="{00000003-ED8C-4AAC-8DF7-9FF5F4E56278}"/>
              </c:ext>
            </c:extLst>
          </c:dPt>
          <c:dPt>
            <c:idx val="2"/>
            <c:invertIfNegative val="0"/>
            <c:bubble3D val="0"/>
            <c:spPr>
              <a:solidFill>
                <a:srgbClr val="00B050"/>
              </a:solidFill>
              <a:ln>
                <a:noFill/>
              </a:ln>
              <a:effectLst/>
            </c:spPr>
            <c:extLst>
              <c:ext xmlns:c16="http://schemas.microsoft.com/office/drawing/2014/chart" uri="{C3380CC4-5D6E-409C-BE32-E72D297353CC}">
                <c16:uniqueId val="{00000005-ED8C-4AAC-8DF7-9FF5F4E5627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ECONOMICO'!$E$78:$E$80</c:f>
              <c:numCache>
                <c:formatCode>0.0%</c:formatCode>
                <c:ptCount val="3"/>
                <c:pt idx="0">
                  <c:v>0.35954444444444444</c:v>
                </c:pt>
                <c:pt idx="1">
                  <c:v>0.15888888888888889</c:v>
                </c:pt>
                <c:pt idx="2">
                  <c:v>0.56020000000000003</c:v>
                </c:pt>
              </c:numCache>
            </c:numRef>
          </c:val>
          <c:extLst>
            <c:ext xmlns:c16="http://schemas.microsoft.com/office/drawing/2014/chart" uri="{C3380CC4-5D6E-409C-BE32-E72D297353CC}">
              <c16:uniqueId val="{00000006-ED8C-4AAC-8DF7-9FF5F4E56278}"/>
            </c:ext>
          </c:extLst>
        </c:ser>
        <c:dLbls>
          <c:showLegendKey val="0"/>
          <c:showVal val="0"/>
          <c:showCatName val="0"/>
          <c:showSerName val="0"/>
          <c:showPercent val="0"/>
          <c:showBubbleSize val="0"/>
        </c:dLbls>
        <c:gapWidth val="219"/>
        <c:overlap val="-27"/>
        <c:axId val="430547808"/>
        <c:axId val="430544672"/>
      </c:barChart>
      <c:catAx>
        <c:axId val="43054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44672"/>
        <c:crosses val="autoZero"/>
        <c:auto val="1"/>
        <c:lblAlgn val="ctr"/>
        <c:lblOffset val="100"/>
        <c:noMultiLvlLbl val="0"/>
      </c:catAx>
      <c:valAx>
        <c:axId val="4305446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47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LINEA ESTRATEGICA CIUDAD CONECTADA.  </a:t>
            </a:r>
            <a:r>
              <a:rPr lang="es-CO" sz="1440" b="1" i="0" u="none" strike="noStrike" baseline="0">
                <a:effectLst/>
              </a:rPr>
              <a:t>31 DE DICIEMBRE DE 2025</a:t>
            </a:r>
            <a:endParaRPr lang="es-CO" b="1"/>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9-4AA9-9B01-ED91D48CAAE3}"/>
                </c:ext>
              </c:extLst>
            </c:dLbl>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0.45219100013434554</c:v>
                </c:pt>
                <c:pt idx="1">
                  <c:v>0.46391147747747752</c:v>
                </c:pt>
                <c:pt idx="2">
                  <c:v>0.28910714285714284</c:v>
                </c:pt>
                <c:pt idx="3">
                  <c:v>0.42034722222222226</c:v>
                </c:pt>
                <c:pt idx="4">
                  <c:v>0.57466101842657324</c:v>
                </c:pt>
                <c:pt idx="5">
                  <c:v>0.45013730158730159</c:v>
                </c:pt>
                <c:pt idx="6">
                  <c:v>0.61280234536891931</c:v>
                </c:pt>
                <c:pt idx="7">
                  <c:v>0.46629952380952377</c:v>
                </c:pt>
              </c:numCache>
            </c:numRef>
          </c:val>
          <c:extLst>
            <c:ext xmlns:c16="http://schemas.microsoft.com/office/drawing/2014/chart" uri="{C3380CC4-5D6E-409C-BE32-E72D297353CC}">
              <c16:uniqueId val="{00000000-C4A9-4AA9-9B01-ED91D48CAAE3}"/>
            </c:ext>
          </c:extLst>
        </c:ser>
        <c:ser>
          <c:idx val="1"/>
          <c:order val="1"/>
          <c:tx>
            <c:strRef>
              <c:f>'GRAFICAS CIUDAD CONECTADA'!$E$4</c:f>
              <c:strCache>
                <c:ptCount val="1"/>
                <c:pt idx="0">
                  <c:v>LOGRO VIGENCIA  CORTE 31 DE DICIEMBRE DE 2025 RESPECTO AL CUATRIENIO</c:v>
                </c:pt>
              </c:strCache>
            </c:strRef>
          </c:tx>
          <c:spPr>
            <a:solidFill>
              <a:srgbClr val="FF7C8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DEEC-4718-97EC-14671C7F551C}"/>
              </c:ext>
            </c:extLst>
          </c:dPt>
          <c:dPt>
            <c:idx val="1"/>
            <c:invertIfNegative val="0"/>
            <c:bubble3D val="0"/>
            <c:spPr>
              <a:solidFill>
                <a:srgbClr val="00B050"/>
              </a:solidFill>
              <a:ln>
                <a:noFill/>
              </a:ln>
              <a:effectLst/>
            </c:spPr>
            <c:extLst>
              <c:ext xmlns:c16="http://schemas.microsoft.com/office/drawing/2014/chart" uri="{C3380CC4-5D6E-409C-BE32-E72D297353CC}">
                <c16:uniqueId val="{00000002-DEEC-4718-97EC-14671C7F551C}"/>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DEEC-4718-97EC-14671C7F551C}"/>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DEEC-4718-97EC-14671C7F551C}"/>
              </c:ext>
            </c:extLst>
          </c:dPt>
          <c:dPt>
            <c:idx val="4"/>
            <c:invertIfNegative val="0"/>
            <c:bubble3D val="0"/>
            <c:spPr>
              <a:solidFill>
                <a:srgbClr val="00B050"/>
              </a:solidFill>
              <a:ln>
                <a:noFill/>
              </a:ln>
              <a:effectLst/>
            </c:spPr>
            <c:extLst>
              <c:ext xmlns:c16="http://schemas.microsoft.com/office/drawing/2014/chart" uri="{C3380CC4-5D6E-409C-BE32-E72D297353CC}">
                <c16:uniqueId val="{00000007-DEEC-4718-97EC-14671C7F551C}"/>
              </c:ext>
            </c:extLst>
          </c:dPt>
          <c:dPt>
            <c:idx val="5"/>
            <c:invertIfNegative val="0"/>
            <c:bubble3D val="0"/>
            <c:spPr>
              <a:solidFill>
                <a:srgbClr val="FFFF00"/>
              </a:solidFill>
              <a:ln>
                <a:noFill/>
              </a:ln>
              <a:effectLst/>
            </c:spPr>
            <c:extLst>
              <c:ext xmlns:c16="http://schemas.microsoft.com/office/drawing/2014/chart" uri="{C3380CC4-5D6E-409C-BE32-E72D297353CC}">
                <c16:uniqueId val="{00000009-DEEC-4718-97EC-14671C7F551C}"/>
              </c:ext>
            </c:extLst>
          </c:dPt>
          <c:dPt>
            <c:idx val="6"/>
            <c:invertIfNegative val="0"/>
            <c:bubble3D val="0"/>
            <c:spPr>
              <a:solidFill>
                <a:srgbClr val="00B050"/>
              </a:solidFill>
              <a:ln>
                <a:noFill/>
              </a:ln>
              <a:effectLst/>
            </c:spPr>
            <c:extLst>
              <c:ext xmlns:c16="http://schemas.microsoft.com/office/drawing/2014/chart" uri="{C3380CC4-5D6E-409C-BE32-E72D297353CC}">
                <c16:uniqueId val="{0000000C-DEEC-4718-97EC-14671C7F551C}"/>
              </c:ext>
            </c:extLst>
          </c:dPt>
          <c:dPt>
            <c:idx val="7"/>
            <c:invertIfNegative val="0"/>
            <c:bubble3D val="0"/>
            <c:spPr>
              <a:solidFill>
                <a:srgbClr val="00B050"/>
              </a:solidFill>
              <a:ln>
                <a:noFill/>
              </a:ln>
              <a:effectLst/>
            </c:spPr>
            <c:extLst>
              <c:ext xmlns:c16="http://schemas.microsoft.com/office/drawing/2014/chart" uri="{C3380CC4-5D6E-409C-BE32-E72D297353CC}">
                <c16:uniqueId val="{0000000F-DEEC-4718-97EC-14671C7F551C}"/>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0.48114752787939219</c:v>
                </c:pt>
                <c:pt idx="1">
                  <c:v>0.45684270833333329</c:v>
                </c:pt>
                <c:pt idx="2">
                  <c:v>0.40500089285714286</c:v>
                </c:pt>
                <c:pt idx="3">
                  <c:v>0.37340679841269842</c:v>
                </c:pt>
                <c:pt idx="4">
                  <c:v>0.6222393044098441</c:v>
                </c:pt>
                <c:pt idx="5">
                  <c:v>0.33279166666666665</c:v>
                </c:pt>
                <c:pt idx="6">
                  <c:v>0.63722474587285305</c:v>
                </c:pt>
                <c:pt idx="7">
                  <c:v>0.51947152777777772</c:v>
                </c:pt>
              </c:numCache>
            </c:numRef>
          </c:val>
          <c:extLst>
            <c:ext xmlns:c16="http://schemas.microsoft.com/office/drawing/2014/chart" uri="{C3380CC4-5D6E-409C-BE32-E72D297353CC}">
              <c16:uniqueId val="{00000001-C4A9-4AA9-9B01-ED91D48CAAE3}"/>
            </c:ext>
          </c:extLst>
        </c:ser>
        <c:dLbls>
          <c:showLegendKey val="0"/>
          <c:showVal val="0"/>
          <c:showCatName val="0"/>
          <c:showSerName val="0"/>
          <c:showPercent val="0"/>
          <c:showBubbleSize val="0"/>
        </c:dLbls>
        <c:gapWidth val="219"/>
        <c:overlap val="-27"/>
        <c:axId val="430551728"/>
        <c:axId val="430545848"/>
      </c:barChart>
      <c:catAx>
        <c:axId val="43055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545848"/>
        <c:crosses val="autoZero"/>
        <c:auto val="1"/>
        <c:lblAlgn val="ctr"/>
        <c:lblOffset val="100"/>
        <c:noMultiLvlLbl val="0"/>
      </c:catAx>
      <c:valAx>
        <c:axId val="430545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551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a:t>AVANCE </a:t>
            </a:r>
            <a:r>
              <a:rPr lang="es-CO" sz="1200" b="1" i="0" u="none" strike="noStrike" kern="1200" spc="0" baseline="0">
                <a:solidFill>
                  <a:srgbClr val="000000">
                    <a:lumMod val="65000"/>
                    <a:lumOff val="35000"/>
                  </a:srgbClr>
                </a:solidFill>
                <a:latin typeface="+mn-lt"/>
                <a:ea typeface="+mn-ea"/>
                <a:cs typeface="+mn-cs"/>
              </a:rPr>
              <a:t>RESPECTO AL CUATRIENIO DE LOS COMPONENTES IMPULSORES LINEA ESTRATEGICA CIUDAD CONECTADA  31 DE DICIEMBRE DE 2025. PONDERADO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CONECTADA'!$O$5</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CONECTADA'!$O$6:$O$13</c:f>
              <c:numCache>
                <c:formatCode>0.0%</c:formatCode>
                <c:ptCount val="8"/>
                <c:pt idx="0">
                  <c:v>0.39932063331285683</c:v>
                </c:pt>
                <c:pt idx="1">
                  <c:v>0.42935448648648655</c:v>
                </c:pt>
                <c:pt idx="2">
                  <c:v>0.45153571428571426</c:v>
                </c:pt>
                <c:pt idx="3">
                  <c:v>0.32091666666666663</c:v>
                </c:pt>
                <c:pt idx="4">
                  <c:v>0.45310010038270909</c:v>
                </c:pt>
                <c:pt idx="5">
                  <c:v>0.41069444444444447</c:v>
                </c:pt>
                <c:pt idx="6">
                  <c:v>0.56085977039114832</c:v>
                </c:pt>
                <c:pt idx="7">
                  <c:v>0.41881250000000003</c:v>
                </c:pt>
              </c:numCache>
            </c:numRef>
          </c:val>
          <c:extLst>
            <c:ext xmlns:c16="http://schemas.microsoft.com/office/drawing/2014/chart" uri="{C3380CC4-5D6E-409C-BE32-E72D297353CC}">
              <c16:uniqueId val="{00000000-7F67-4C3F-968C-2D68C11E2A8A}"/>
            </c:ext>
          </c:extLst>
        </c:ser>
        <c:ser>
          <c:idx val="1"/>
          <c:order val="1"/>
          <c:tx>
            <c:strRef>
              <c:f>'GRAFICAS CIUDAD CONECTADA'!$P$5</c:f>
              <c:strCache>
                <c:ptCount val="1"/>
                <c:pt idx="0">
                  <c:v>LOGRO CORTE 31 DE DICIEMBRE DE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CONECTADA'!$P$6:$P$13</c:f>
              <c:numCache>
                <c:formatCode>0.0%</c:formatCode>
                <c:ptCount val="8"/>
                <c:pt idx="0">
                  <c:v>0.37052459010275579</c:v>
                </c:pt>
                <c:pt idx="1">
                  <c:v>0.54951656666666659</c:v>
                </c:pt>
                <c:pt idx="2">
                  <c:v>0.4337455357142857</c:v>
                </c:pt>
                <c:pt idx="3">
                  <c:v>0.27470192500000001</c:v>
                </c:pt>
                <c:pt idx="4">
                  <c:v>0.56432627484958808</c:v>
                </c:pt>
                <c:pt idx="5">
                  <c:v>0.22288787500000001</c:v>
                </c:pt>
                <c:pt idx="6">
                  <c:v>0.23815278753134994</c:v>
                </c:pt>
                <c:pt idx="7">
                  <c:v>0.42935424999999999</c:v>
                </c:pt>
              </c:numCache>
            </c:numRef>
          </c:val>
          <c:extLst>
            <c:ext xmlns:c16="http://schemas.microsoft.com/office/drawing/2014/chart" uri="{C3380CC4-5D6E-409C-BE32-E72D297353CC}">
              <c16:uniqueId val="{00000001-7F67-4C3F-968C-2D68C11E2A8A}"/>
            </c:ext>
          </c:extLst>
        </c:ser>
        <c:dLbls>
          <c:showLegendKey val="0"/>
          <c:showVal val="0"/>
          <c:showCatName val="0"/>
          <c:showSerName val="0"/>
          <c:showPercent val="0"/>
          <c:showBubbleSize val="0"/>
        </c:dLbls>
        <c:gapWidth val="219"/>
        <c:overlap val="-27"/>
        <c:axId val="430546240"/>
        <c:axId val="429970624"/>
      </c:barChart>
      <c:catAx>
        <c:axId val="43054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0624"/>
        <c:crosses val="autoZero"/>
        <c:auto val="1"/>
        <c:lblAlgn val="ctr"/>
        <c:lblOffset val="100"/>
        <c:noMultiLvlLbl val="0"/>
      </c:catAx>
      <c:valAx>
        <c:axId val="429970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700" b="1"/>
              <a:t>Componente Impulsor del avance: Ordenamiento del Territorio y espacio público. Avance ponderado corte </a:t>
            </a:r>
            <a:r>
              <a:rPr lang="en-US" sz="1700" b="1" i="0" u="none" strike="noStrike" baseline="0">
                <a:effectLst/>
              </a:rPr>
              <a:t> </a:t>
            </a:r>
            <a:r>
              <a:rPr lang="es-CO" sz="1700" b="1" i="0" u="none" strike="noStrike" baseline="0">
                <a:effectLst/>
              </a:rPr>
              <a:t>31 de diciembre de 2025</a:t>
            </a:r>
            <a:r>
              <a:rPr lang="en-US" b="1"/>
              <a:t>.</a:t>
            </a:r>
          </a:p>
        </c:rich>
      </c:tx>
      <c:layout>
        <c:manualLayout>
          <c:xMode val="edge"/>
          <c:yMode val="edge"/>
          <c:x val="0.11778455818022747"/>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CONECTADA'!$D$46</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CONECTADA'!$D$47:$D$49</c:f>
              <c:numCache>
                <c:formatCode>0.0%</c:formatCode>
                <c:ptCount val="3"/>
                <c:pt idx="0">
                  <c:v>0.54951656666666659</c:v>
                </c:pt>
                <c:pt idx="1">
                  <c:v>0.55102366666666669</c:v>
                </c:pt>
                <c:pt idx="2">
                  <c:v>0.54600000000000004</c:v>
                </c:pt>
              </c:numCache>
            </c:numRef>
          </c:val>
          <c:extLst>
            <c:ext xmlns:c16="http://schemas.microsoft.com/office/drawing/2014/chart" uri="{C3380CC4-5D6E-409C-BE32-E72D297353CC}">
              <c16:uniqueId val="{00000000-A542-4A30-8D52-82E1D63BC971}"/>
            </c:ext>
          </c:extLst>
        </c:ser>
        <c:dLbls>
          <c:showLegendKey val="0"/>
          <c:showVal val="0"/>
          <c:showCatName val="0"/>
          <c:showSerName val="0"/>
          <c:showPercent val="0"/>
          <c:showBubbleSize val="0"/>
        </c:dLbls>
        <c:gapWidth val="219"/>
        <c:overlap val="-27"/>
        <c:axId val="429972976"/>
        <c:axId val="429969840"/>
      </c:barChart>
      <c:catAx>
        <c:axId val="429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29969840"/>
        <c:crosses val="autoZero"/>
        <c:auto val="1"/>
        <c:lblAlgn val="ctr"/>
        <c:lblOffset val="100"/>
        <c:noMultiLvlLbl val="0"/>
      </c:catAx>
      <c:valAx>
        <c:axId val="429969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a:t>
            </a:r>
            <a:r>
              <a:rPr lang="en-US" sz="1800" b="1" i="0" u="none" strike="noStrike" kern="1200" spc="0" baseline="0">
                <a:solidFill>
                  <a:srgbClr val="000000">
                    <a:lumMod val="65000"/>
                    <a:lumOff val="35000"/>
                  </a:srgbClr>
                </a:solidFill>
                <a:effectLst/>
                <a:latin typeface="+mn-lt"/>
                <a:ea typeface="+mn-ea"/>
                <a:cs typeface="+mn-cs"/>
              </a:rPr>
              <a:t>: Cartagena Amigable con el Ambiente. Avance ponderado corte  </a:t>
            </a:r>
            <a:r>
              <a:rPr lang="es-CO" sz="1800" b="1" i="0" u="none" strike="noStrike" kern="1200" spc="0" baseline="0">
                <a:solidFill>
                  <a:srgbClr val="000000">
                    <a:lumMod val="65000"/>
                    <a:lumOff val="35000"/>
                  </a:srgbClr>
                </a:solidFill>
                <a:effectLst/>
                <a:latin typeface="+mn-lt"/>
                <a:ea typeface="+mn-ea"/>
                <a:cs typeface="+mn-cs"/>
              </a:rPr>
              <a:t>31 de diciembre de 2025</a:t>
            </a:r>
          </a:p>
        </c:rich>
      </c:tx>
      <c:layout>
        <c:manualLayout>
          <c:xMode val="edge"/>
          <c:yMode val="edge"/>
          <c:x val="0.13315293334812023"/>
          <c:y val="1.8957345971563982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CONECTADA'!$D$59</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CONECTADA'!$D$60:$D$65</c:f>
              <c:numCache>
                <c:formatCode>0.0%</c:formatCode>
                <c:ptCount val="6"/>
                <c:pt idx="0">
                  <c:v>0.27470192500000001</c:v>
                </c:pt>
                <c:pt idx="1">
                  <c:v>0.17025750000000001</c:v>
                </c:pt>
                <c:pt idx="2">
                  <c:v>0.34674833333333333</c:v>
                </c:pt>
                <c:pt idx="3">
                  <c:v>0.36</c:v>
                </c:pt>
                <c:pt idx="4">
                  <c:v>0.57688000000000006</c:v>
                </c:pt>
                <c:pt idx="5">
                  <c:v>0.13504986666666668</c:v>
                </c:pt>
              </c:numCache>
            </c:numRef>
          </c:val>
          <c:extLst>
            <c:ext xmlns:c16="http://schemas.microsoft.com/office/drawing/2014/chart" uri="{C3380CC4-5D6E-409C-BE32-E72D297353CC}">
              <c16:uniqueId val="{00000000-AF80-49A3-99FA-049B919FE9CA}"/>
            </c:ext>
          </c:extLst>
        </c:ser>
        <c:dLbls>
          <c:showLegendKey val="0"/>
          <c:showVal val="0"/>
          <c:showCatName val="0"/>
          <c:showSerName val="0"/>
          <c:showPercent val="0"/>
          <c:showBubbleSize val="0"/>
        </c:dLbls>
        <c:gapWidth val="219"/>
        <c:overlap val="-27"/>
        <c:axId val="429973368"/>
        <c:axId val="429971016"/>
      </c:barChart>
      <c:catAx>
        <c:axId val="429973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1016"/>
        <c:crosses val="autoZero"/>
        <c:auto val="1"/>
        <c:lblAlgn val="ctr"/>
        <c:lblOffset val="100"/>
        <c:noMultiLvlLbl val="0"/>
      </c:catAx>
      <c:valAx>
        <c:axId val="429971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 avance: </a:t>
            </a:r>
            <a:r>
              <a:rPr lang="en-US" sz="1800" b="1" i="0" u="none" strike="noStrike" kern="1200" spc="0" baseline="0">
                <a:solidFill>
                  <a:srgbClr val="000000">
                    <a:lumMod val="65000"/>
                    <a:lumOff val="35000"/>
                  </a:srgbClr>
                </a:solidFill>
                <a:effectLst/>
                <a:latin typeface="+mn-lt"/>
                <a:ea typeface="+mn-ea"/>
                <a:cs typeface="+mn-cs"/>
              </a:rPr>
              <a:t>Cartagena Adaptada al Clima y Resiliente a los Desastres. Avance ponderado corte  </a:t>
            </a:r>
            <a:r>
              <a:rPr lang="es-CO" sz="1800" b="1" i="0" u="none" strike="noStrike" kern="1200" spc="0" baseline="0">
                <a:solidFill>
                  <a:srgbClr val="000000">
                    <a:lumMod val="65000"/>
                    <a:lumOff val="35000"/>
                  </a:srgbClr>
                </a:solidFill>
                <a:effectLst/>
                <a:latin typeface="+mn-lt"/>
                <a:ea typeface="+mn-ea"/>
                <a:cs typeface="+mn-cs"/>
              </a:rPr>
              <a:t>31 de diciembre de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CONECTADA'!$D$70</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CONECTADA'!$D$71:$D$77</c:f>
              <c:numCache>
                <c:formatCode>0.0%</c:formatCode>
                <c:ptCount val="7"/>
                <c:pt idx="0">
                  <c:v>0.56432627484958808</c:v>
                </c:pt>
                <c:pt idx="1">
                  <c:v>0.36499999999999999</c:v>
                </c:pt>
                <c:pt idx="2">
                  <c:v>0.69763636363636361</c:v>
                </c:pt>
                <c:pt idx="3">
                  <c:v>0.68840579710144922</c:v>
                </c:pt>
                <c:pt idx="4">
                  <c:v>0.62520689655172412</c:v>
                </c:pt>
                <c:pt idx="5">
                  <c:v>0.2857142857142857</c:v>
                </c:pt>
                <c:pt idx="6">
                  <c:v>0.82299999999999995</c:v>
                </c:pt>
              </c:numCache>
            </c:numRef>
          </c:val>
          <c:extLst>
            <c:ext xmlns:c16="http://schemas.microsoft.com/office/drawing/2014/chart" uri="{C3380CC4-5D6E-409C-BE32-E72D297353CC}">
              <c16:uniqueId val="{00000000-5860-4272-8F38-54D0835BC3EC}"/>
            </c:ext>
          </c:extLst>
        </c:ser>
        <c:dLbls>
          <c:showLegendKey val="0"/>
          <c:showVal val="0"/>
          <c:showCatName val="0"/>
          <c:showSerName val="0"/>
          <c:showPercent val="0"/>
          <c:showBubbleSize val="0"/>
        </c:dLbls>
        <c:gapWidth val="219"/>
        <c:overlap val="-27"/>
        <c:axId val="429974152"/>
        <c:axId val="429974544"/>
      </c:barChart>
      <c:catAx>
        <c:axId val="429974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4544"/>
        <c:crosses val="autoZero"/>
        <c:auto val="1"/>
        <c:lblAlgn val="ctr"/>
        <c:lblOffset val="100"/>
        <c:noMultiLvlLbl val="0"/>
      </c:catAx>
      <c:valAx>
        <c:axId val="429974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4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Ciudad Histórica y Patrimonial</a:t>
            </a:r>
            <a:r>
              <a:rPr lang="en-US" sz="1800"/>
              <a:t>. </a:t>
            </a:r>
            <a:r>
              <a:rPr lang="en-US" sz="1800" b="1" i="0" u="none" strike="noStrike" kern="1200" spc="0" baseline="0">
                <a:solidFill>
                  <a:srgbClr val="000000">
                    <a:lumMod val="65000"/>
                    <a:lumOff val="35000"/>
                  </a:srgbClr>
                </a:solidFill>
                <a:effectLst/>
                <a:latin typeface="+mn-lt"/>
                <a:ea typeface="+mn-ea"/>
                <a:cs typeface="+mn-cs"/>
              </a:rPr>
              <a:t>Avance ponderado corte  </a:t>
            </a:r>
            <a:r>
              <a:rPr lang="es-CO" sz="1800" b="1" i="0" u="none" strike="noStrike" kern="1200" spc="0" baseline="0">
                <a:solidFill>
                  <a:srgbClr val="000000">
                    <a:lumMod val="65000"/>
                    <a:lumOff val="35000"/>
                  </a:srgbClr>
                </a:solidFill>
                <a:effectLst/>
                <a:latin typeface="+mn-lt"/>
                <a:ea typeface="+mn-ea"/>
                <a:cs typeface="+mn-cs"/>
              </a:rPr>
              <a:t>31 de diciembre de 2025</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CONECTADA'!$D$82</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CONECTADA'!$D$83:$D$86</c:f>
              <c:numCache>
                <c:formatCode>0.0%</c:formatCode>
                <c:ptCount val="4"/>
                <c:pt idx="0">
                  <c:v>0.22288787500000001</c:v>
                </c:pt>
                <c:pt idx="1">
                  <c:v>0.24641750000000001</c:v>
                </c:pt>
                <c:pt idx="2">
                  <c:v>0.11</c:v>
                </c:pt>
                <c:pt idx="3">
                  <c:v>0.625</c:v>
                </c:pt>
              </c:numCache>
            </c:numRef>
          </c:val>
          <c:extLst>
            <c:ext xmlns:c16="http://schemas.microsoft.com/office/drawing/2014/chart" uri="{C3380CC4-5D6E-409C-BE32-E72D297353CC}">
              <c16:uniqueId val="{00000000-AE70-45BE-B254-C8CF80831D94}"/>
            </c:ext>
          </c:extLst>
        </c:ser>
        <c:dLbls>
          <c:showLegendKey val="0"/>
          <c:showVal val="0"/>
          <c:showCatName val="0"/>
          <c:showSerName val="0"/>
          <c:showPercent val="0"/>
          <c:showBubbleSize val="0"/>
        </c:dLbls>
        <c:gapWidth val="219"/>
        <c:overlap val="-27"/>
        <c:axId val="429975720"/>
        <c:axId val="429971800"/>
      </c:barChart>
      <c:catAx>
        <c:axId val="42997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1800"/>
        <c:crosses val="autoZero"/>
        <c:auto val="1"/>
        <c:lblAlgn val="ctr"/>
        <c:lblOffset val="100"/>
        <c:noMultiLvlLbl val="0"/>
      </c:catAx>
      <c:valAx>
        <c:axId val="429971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5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700" b="1" i="0" u="none" strike="noStrike" kern="1200" spc="0" baseline="0">
                <a:solidFill>
                  <a:srgbClr val="000000">
                    <a:lumMod val="65000"/>
                    <a:lumOff val="35000"/>
                  </a:srgbClr>
                </a:solidFill>
                <a:effectLst/>
                <a:latin typeface="+mn-lt"/>
                <a:ea typeface="+mn-ea"/>
                <a:cs typeface="+mn-cs"/>
              </a:rPr>
              <a:t>Componente Impulsor de avance: Infraestructura, Movilidad Sostenible y Accesibilidad para Todos. Avance ponderado corte  </a:t>
            </a:r>
            <a:r>
              <a:rPr lang="es-CO" sz="1700" b="1" i="0" u="none" strike="noStrike" kern="1200" spc="0" baseline="0">
                <a:solidFill>
                  <a:srgbClr val="000000">
                    <a:lumMod val="65000"/>
                    <a:lumOff val="35000"/>
                  </a:srgbClr>
                </a:solidFill>
                <a:effectLst/>
                <a:latin typeface="+mn-lt"/>
                <a:ea typeface="+mn-ea"/>
                <a:cs typeface="+mn-cs"/>
              </a:rPr>
              <a:t>31 de diciembre de 2025</a:t>
            </a:r>
            <a:endParaRPr lang="en-US" sz="1700" b="1" i="0" u="none" strike="noStrike" kern="1200" spc="0" baseline="0">
              <a:solidFill>
                <a:srgbClr val="000000">
                  <a:lumMod val="65000"/>
                  <a:lumOff val="35000"/>
                </a:srgbClr>
              </a:solidFill>
              <a:effectLst/>
              <a:latin typeface="+mn-lt"/>
              <a:ea typeface="+mn-ea"/>
              <a:cs typeface="+mn-cs"/>
            </a:endParaRPr>
          </a:p>
        </c:rich>
      </c:tx>
      <c:layout>
        <c:manualLayout>
          <c:xMode val="edge"/>
          <c:yMode val="edge"/>
          <c:x val="0.15388824288480393"/>
          <c:y val="3.11332503113325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CIUDAD CONECTADA'!$D$94</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CONECTADA'!$D$95:$D$99</c:f>
              <c:numCache>
                <c:formatCode>0.0%</c:formatCode>
                <c:ptCount val="5"/>
                <c:pt idx="0">
                  <c:v>0.23815278753134994</c:v>
                </c:pt>
                <c:pt idx="1">
                  <c:v>1</c:v>
                </c:pt>
                <c:pt idx="2">
                  <c:v>0.26324999999999998</c:v>
                </c:pt>
                <c:pt idx="3">
                  <c:v>0.57192798694589131</c:v>
                </c:pt>
                <c:pt idx="4">
                  <c:v>0.57233044744733119</c:v>
                </c:pt>
              </c:numCache>
            </c:numRef>
          </c:val>
          <c:extLst>
            <c:ext xmlns:c16="http://schemas.microsoft.com/office/drawing/2014/chart" uri="{C3380CC4-5D6E-409C-BE32-E72D297353CC}">
              <c16:uniqueId val="{00000000-91AC-48B5-820A-BC871DCE6288}"/>
            </c:ext>
          </c:extLst>
        </c:ser>
        <c:dLbls>
          <c:showLegendKey val="0"/>
          <c:showVal val="0"/>
          <c:showCatName val="0"/>
          <c:showSerName val="0"/>
          <c:showPercent val="0"/>
          <c:showBubbleSize val="0"/>
        </c:dLbls>
        <c:gapWidth val="219"/>
        <c:overlap val="-27"/>
        <c:axId val="429972192"/>
        <c:axId val="429974936"/>
      </c:barChart>
      <c:catAx>
        <c:axId val="42997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4936"/>
        <c:crosses val="autoZero"/>
        <c:auto val="1"/>
        <c:lblAlgn val="ctr"/>
        <c:lblOffset val="100"/>
        <c:noMultiLvlLbl val="0"/>
      </c:catAx>
      <c:valAx>
        <c:axId val="429974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Cartagena Ordenada Alrededor del Agua. </a:t>
            </a:r>
            <a:r>
              <a:rPr lang="en-US" sz="1800" b="1" i="0" baseline="0">
                <a:effectLst/>
              </a:rPr>
              <a:t>Avance </a:t>
            </a:r>
            <a:r>
              <a:rPr lang="en-US" sz="1800" b="1" i="0" u="none" strike="noStrike" kern="1200" spc="0" baseline="0">
                <a:solidFill>
                  <a:srgbClr val="000000">
                    <a:lumMod val="65000"/>
                    <a:lumOff val="35000"/>
                  </a:srgbClr>
                </a:solidFill>
                <a:effectLst/>
                <a:latin typeface="+mn-lt"/>
                <a:ea typeface="+mn-ea"/>
                <a:cs typeface="+mn-cs"/>
              </a:rPr>
              <a:t>ponderado corte  </a:t>
            </a:r>
            <a:r>
              <a:rPr lang="es-CO" sz="1800" b="1" i="0" u="none" strike="noStrike" kern="1200" spc="0" baseline="0">
                <a:solidFill>
                  <a:srgbClr val="000000">
                    <a:lumMod val="65000"/>
                    <a:lumOff val="35000"/>
                  </a:srgbClr>
                </a:solidFill>
                <a:effectLst/>
                <a:latin typeface="+mn-lt"/>
                <a:ea typeface="+mn-ea"/>
                <a:cs typeface="+mn-cs"/>
              </a:rPr>
              <a:t>31 de diciembre de 2025</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CONECTADA'!$D$103</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CONECTADA'!$D$104:$D$108</c:f>
              <c:numCache>
                <c:formatCode>0.0%</c:formatCode>
                <c:ptCount val="5"/>
                <c:pt idx="0">
                  <c:v>0.42935424999999999</c:v>
                </c:pt>
                <c:pt idx="1">
                  <c:v>0.12164625000000003</c:v>
                </c:pt>
                <c:pt idx="2">
                  <c:v>1</c:v>
                </c:pt>
                <c:pt idx="3">
                  <c:v>0.31250000000000006</c:v>
                </c:pt>
                <c:pt idx="4">
                  <c:v>0.58966666666666667</c:v>
                </c:pt>
              </c:numCache>
            </c:numRef>
          </c:val>
          <c:extLst>
            <c:ext xmlns:c16="http://schemas.microsoft.com/office/drawing/2014/chart" uri="{C3380CC4-5D6E-409C-BE32-E72D297353CC}">
              <c16:uniqueId val="{00000000-DAAC-41E9-824D-77B361BDFA4D}"/>
            </c:ext>
          </c:extLst>
        </c:ser>
        <c:dLbls>
          <c:showLegendKey val="0"/>
          <c:showVal val="0"/>
          <c:showCatName val="0"/>
          <c:showSerName val="0"/>
          <c:showPercent val="0"/>
          <c:showBubbleSize val="0"/>
        </c:dLbls>
        <c:gapWidth val="219"/>
        <c:overlap val="-27"/>
        <c:axId val="429968664"/>
        <c:axId val="429972584"/>
      </c:barChart>
      <c:catAx>
        <c:axId val="42996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2584"/>
        <c:crosses val="autoZero"/>
        <c:auto val="1"/>
        <c:lblAlgn val="ctr"/>
        <c:lblOffset val="100"/>
        <c:noMultiLvlLbl val="0"/>
      </c:catAx>
      <c:valAx>
        <c:axId val="4299725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6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s-CO" sz="1100" b="1"/>
              <a:t>AVANCE RESPECTO AL CUATRIENIO DE LOS COMPONENTES </a:t>
            </a:r>
            <a:r>
              <a:rPr lang="es-CO" sz="1100" b="1" i="0" u="none" strike="noStrike" kern="1200" spc="0" baseline="0">
                <a:solidFill>
                  <a:srgbClr val="000000">
                    <a:lumMod val="65000"/>
                    <a:lumOff val="35000"/>
                  </a:srgbClr>
                </a:solidFill>
                <a:latin typeface="+mn-lt"/>
                <a:ea typeface="+mn-ea"/>
                <a:cs typeface="+mn-cs"/>
              </a:rPr>
              <a:t>IMPULSORES LINEA ESTRATEGICA SEGURIDAD HUMANA   31 DE DICIEMBRE 2025</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1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2025</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0.62879210773800021</c:v>
                </c:pt>
                <c:pt idx="1">
                  <c:v>0.88476840343177321</c:v>
                </c:pt>
                <c:pt idx="2">
                  <c:v>0.58684348701403577</c:v>
                </c:pt>
                <c:pt idx="3">
                  <c:v>0.54395347999674115</c:v>
                </c:pt>
                <c:pt idx="4">
                  <c:v>0.6068847164726574</c:v>
                </c:pt>
                <c:pt idx="5">
                  <c:v>0.48976309154789766</c:v>
                </c:pt>
              </c:numCache>
            </c:numRef>
          </c:val>
          <c:extLst>
            <c:ext xmlns:c16="http://schemas.microsoft.com/office/drawing/2014/chart" uri="{C3380CC4-5D6E-409C-BE32-E72D297353CC}">
              <c16:uniqueId val="{00000000-26D3-4943-BAC1-53EAC213B06C}"/>
            </c:ext>
          </c:extLst>
        </c:ser>
        <c:ser>
          <c:idx val="1"/>
          <c:order val="1"/>
          <c:tx>
            <c:strRef>
              <c:f>'GRAFICAS SEGURIDAD HUMANA'!$E$4</c:f>
              <c:strCache>
                <c:ptCount val="1"/>
                <c:pt idx="0">
                  <c:v>LOGRO VIGENCIA  CORTE  31 DE DICIEMBRE DE 2025 RESPECTO AL CUATRIENIO</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B7E8-4E91-A917-FD2EA59B18FD}"/>
              </c:ext>
            </c:extLst>
          </c:dPt>
          <c:dPt>
            <c:idx val="1"/>
            <c:invertIfNegative val="0"/>
            <c:bubble3D val="0"/>
            <c:spPr>
              <a:solidFill>
                <a:srgbClr val="00B050"/>
              </a:solidFill>
              <a:ln>
                <a:noFill/>
              </a:ln>
              <a:effectLst/>
            </c:spPr>
            <c:extLst>
              <c:ext xmlns:c16="http://schemas.microsoft.com/office/drawing/2014/chart" uri="{C3380CC4-5D6E-409C-BE32-E72D297353CC}">
                <c16:uniqueId val="{00000003-B7E8-4E91-A917-FD2EA59B18FD}"/>
              </c:ext>
            </c:extLst>
          </c:dPt>
          <c:dPt>
            <c:idx val="2"/>
            <c:invertIfNegative val="0"/>
            <c:bubble3D val="0"/>
            <c:spPr>
              <a:solidFill>
                <a:srgbClr val="00B050"/>
              </a:solidFill>
              <a:ln>
                <a:noFill/>
              </a:ln>
              <a:effectLst/>
            </c:spPr>
            <c:extLst>
              <c:ext xmlns:c16="http://schemas.microsoft.com/office/drawing/2014/chart" uri="{C3380CC4-5D6E-409C-BE32-E72D297353CC}">
                <c16:uniqueId val="{00000005-B7E8-4E91-A917-FD2EA59B18FD}"/>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B7E8-4E91-A917-FD2EA59B18FD}"/>
              </c:ext>
            </c:extLst>
          </c:dPt>
          <c:dPt>
            <c:idx val="4"/>
            <c:invertIfNegative val="0"/>
            <c:bubble3D val="0"/>
            <c:spPr>
              <a:solidFill>
                <a:srgbClr val="00B050"/>
              </a:solidFill>
              <a:ln>
                <a:noFill/>
              </a:ln>
              <a:effectLst/>
            </c:spPr>
            <c:extLst>
              <c:ext xmlns:c16="http://schemas.microsoft.com/office/drawing/2014/chart" uri="{C3380CC4-5D6E-409C-BE32-E72D297353CC}">
                <c16:uniqueId val="{00000008-B7E8-4E91-A917-FD2EA59B18FD}"/>
              </c:ext>
            </c:extLst>
          </c:dPt>
          <c:dPt>
            <c:idx val="5"/>
            <c:invertIfNegative val="0"/>
            <c:bubble3D val="0"/>
            <c:spPr>
              <a:solidFill>
                <a:srgbClr val="00B050"/>
              </a:solidFill>
              <a:ln>
                <a:noFill/>
              </a:ln>
              <a:effectLst/>
            </c:spPr>
            <c:extLst>
              <c:ext xmlns:c16="http://schemas.microsoft.com/office/drawing/2014/chart" uri="{C3380CC4-5D6E-409C-BE32-E72D297353CC}">
                <c16:uniqueId val="{00000009-B7E8-4E91-A917-FD2EA59B18FD}"/>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0.52039961510956811</c:v>
                </c:pt>
                <c:pt idx="1">
                  <c:v>0.64063194152581171</c:v>
                </c:pt>
                <c:pt idx="2">
                  <c:v>0.51564037674127183</c:v>
                </c:pt>
                <c:pt idx="3">
                  <c:v>0.43842939618684557</c:v>
                </c:pt>
                <c:pt idx="4">
                  <c:v>0.62883910107787166</c:v>
                </c:pt>
                <c:pt idx="5">
                  <c:v>0.46829141731287866</c:v>
                </c:pt>
              </c:numCache>
            </c:numRef>
          </c:val>
          <c:extLst>
            <c:ext xmlns:c16="http://schemas.microsoft.com/office/drawing/2014/chart" uri="{C3380CC4-5D6E-409C-BE32-E72D297353CC}">
              <c16:uniqueId val="{00000001-26D3-4943-BAC1-53EAC213B06C}"/>
            </c:ext>
          </c:extLst>
        </c:ser>
        <c:dLbls>
          <c:showLegendKey val="0"/>
          <c:showVal val="0"/>
          <c:showCatName val="0"/>
          <c:showSerName val="0"/>
          <c:showPercent val="0"/>
          <c:showBubbleSize val="0"/>
        </c:dLbls>
        <c:gapWidth val="219"/>
        <c:overlap val="-27"/>
        <c:axId val="425492936"/>
        <c:axId val="425493328"/>
      </c:barChart>
      <c:catAx>
        <c:axId val="42549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5493328"/>
        <c:crosses val="autoZero"/>
        <c:auto val="1"/>
        <c:lblAlgn val="ctr"/>
        <c:lblOffset val="100"/>
        <c:noMultiLvlLbl val="0"/>
      </c:catAx>
      <c:valAx>
        <c:axId val="425493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5492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r>
              <a:rPr lang="en-US"/>
              <a:t>AVANCE   LINEA ESTRATEGICA CIUDAD CONECTADA VIGENCIA CORTE  </a:t>
            </a:r>
            <a:r>
              <a:rPr lang="es-CO" sz="1560" b="1" i="0" u="none" strike="noStrike" baseline="0">
                <a:effectLst/>
              </a:rPr>
              <a:t>31 DE DICIEMBRE DE 2025</a:t>
            </a:r>
            <a:endParaRPr lang="es-CO"/>
          </a:p>
        </c:rich>
      </c:tx>
      <c:layout>
        <c:manualLayout>
          <c:xMode val="edge"/>
          <c:yMode val="edge"/>
          <c:x val="0.27014991906724184"/>
          <c:y val="1.9459459459459458E-2"/>
        </c:manualLayout>
      </c:layout>
      <c:overlay val="0"/>
      <c:spPr>
        <a:noFill/>
        <a:ln>
          <a:noFill/>
        </a:ln>
        <a:effectLst/>
      </c:spPr>
      <c:txPr>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CONECTADA'!$D$119</c:f>
              <c:strCache>
                <c:ptCount val="1"/>
                <c:pt idx="0">
                  <c:v>AVANCE  PARCIAL VIGENCIA  CORTE 31 DE DICIEMBRE DE 2025</c:v>
                </c:pt>
              </c:strCache>
            </c:strRef>
          </c:tx>
          <c:spPr>
            <a:solidFill>
              <a:srgbClr val="92D050"/>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2-A8FF-449C-B6BE-BB827CB78063}"/>
              </c:ext>
            </c:extLst>
          </c:dPt>
          <c:dPt>
            <c:idx val="1"/>
            <c:invertIfNegative val="0"/>
            <c:bubble3D val="0"/>
            <c:spPr>
              <a:solidFill>
                <a:srgbClr val="00B050"/>
              </a:solidFill>
              <a:ln>
                <a:noFill/>
              </a:ln>
              <a:effectLst/>
            </c:spPr>
            <c:extLst>
              <c:ext xmlns:c16="http://schemas.microsoft.com/office/drawing/2014/chart" uri="{C3380CC4-5D6E-409C-BE32-E72D297353CC}">
                <c16:uniqueId val="{00000003-A8FF-449C-B6BE-BB827CB78063}"/>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A8FF-449C-B6BE-BB827CB78063}"/>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B-A8FF-449C-B6BE-BB827CB78063}"/>
              </c:ext>
            </c:extLst>
          </c:dPt>
          <c:dPt>
            <c:idx val="4"/>
            <c:invertIfNegative val="0"/>
            <c:bubble3D val="0"/>
            <c:spPr>
              <a:solidFill>
                <a:srgbClr val="00B050"/>
              </a:solidFill>
              <a:ln>
                <a:noFill/>
              </a:ln>
              <a:effectLst/>
            </c:spPr>
            <c:extLst>
              <c:ext xmlns:c16="http://schemas.microsoft.com/office/drawing/2014/chart" uri="{C3380CC4-5D6E-409C-BE32-E72D297353CC}">
                <c16:uniqueId val="{0000000F-A8FF-449C-B6BE-BB827CB78063}"/>
              </c:ext>
            </c:extLst>
          </c:dPt>
          <c:dPt>
            <c:idx val="5"/>
            <c:invertIfNegative val="0"/>
            <c:bubble3D val="0"/>
            <c:spPr>
              <a:solidFill>
                <a:srgbClr val="FFFF00"/>
              </a:solidFill>
              <a:ln>
                <a:noFill/>
              </a:ln>
              <a:effectLst/>
            </c:spPr>
            <c:extLst>
              <c:ext xmlns:c16="http://schemas.microsoft.com/office/drawing/2014/chart" uri="{C3380CC4-5D6E-409C-BE32-E72D297353CC}">
                <c16:uniqueId val="{00000010-A8FF-449C-B6BE-BB827CB78063}"/>
              </c:ext>
            </c:extLst>
          </c:dPt>
          <c:dPt>
            <c:idx val="6"/>
            <c:invertIfNegative val="0"/>
            <c:bubble3D val="0"/>
            <c:spPr>
              <a:solidFill>
                <a:srgbClr val="00B050"/>
              </a:solidFill>
              <a:ln>
                <a:noFill/>
              </a:ln>
              <a:effectLst/>
            </c:spPr>
            <c:extLst>
              <c:ext xmlns:c16="http://schemas.microsoft.com/office/drawing/2014/chart" uri="{C3380CC4-5D6E-409C-BE32-E72D297353CC}">
                <c16:uniqueId val="{0000000E-A8FF-449C-B6BE-BB827CB78063}"/>
              </c:ext>
            </c:extLst>
          </c:dPt>
          <c:dPt>
            <c:idx val="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6-A8FF-449C-B6BE-BB827CB78063}"/>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CONECTADA'!$C$120:$C$127</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CONECTADA'!$D$120:$D$127</c:f>
              <c:numCache>
                <c:formatCode>0.0%</c:formatCode>
                <c:ptCount val="8"/>
                <c:pt idx="0">
                  <c:v>0.83345436158257791</c:v>
                </c:pt>
                <c:pt idx="1">
                  <c:v>0.92518035426731082</c:v>
                </c:pt>
                <c:pt idx="2">
                  <c:v>0.85</c:v>
                </c:pt>
                <c:pt idx="3">
                  <c:v>0.78964986740672216</c:v>
                </c:pt>
                <c:pt idx="4">
                  <c:v>0.98029629629629633</c:v>
                </c:pt>
                <c:pt idx="5">
                  <c:v>0.71249002267573702</c:v>
                </c:pt>
                <c:pt idx="6">
                  <c:v>0.97413734375382754</c:v>
                </c:pt>
                <c:pt idx="7">
                  <c:v>0.73070847701149422</c:v>
                </c:pt>
              </c:numCache>
            </c:numRef>
          </c:val>
          <c:extLst>
            <c:ext xmlns:c16="http://schemas.microsoft.com/office/drawing/2014/chart" uri="{C3380CC4-5D6E-409C-BE32-E72D297353CC}">
              <c16:uniqueId val="{00000000-A8FF-449C-B6BE-BB827CB78063}"/>
            </c:ext>
          </c:extLst>
        </c:ser>
        <c:dLbls>
          <c:showLegendKey val="0"/>
          <c:showVal val="0"/>
          <c:showCatName val="0"/>
          <c:showSerName val="0"/>
          <c:showPercent val="0"/>
          <c:showBubbleSize val="0"/>
        </c:dLbls>
        <c:gapWidth val="219"/>
        <c:overlap val="-27"/>
        <c:axId val="431135832"/>
        <c:axId val="431136224"/>
      </c:barChart>
      <c:catAx>
        <c:axId val="431135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1136224"/>
        <c:crosses val="autoZero"/>
        <c:auto val="1"/>
        <c:lblAlgn val="ctr"/>
        <c:lblOffset val="100"/>
        <c:noMultiLvlLbl val="0"/>
      </c:catAx>
      <c:valAx>
        <c:axId val="431136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1135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b="1"/>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AVANCE CUATRIENIO IMPULSOR DE AVANCE: CARTAGENA AMIGABLE CON EL AMBIENTE. PROGRAMAS.  CORTE </a:t>
            </a:r>
            <a:r>
              <a:rPr lang="es-CO" sz="1400" b="1" i="0" u="none" strike="noStrike" baseline="0">
                <a:effectLst/>
              </a:rPr>
              <a:t>31 DE DICIEMBRE DE 2025</a:t>
            </a:r>
            <a:endParaRPr lang="en-US" sz="1400" b="1"/>
          </a:p>
        </c:rich>
      </c:tx>
      <c:layout>
        <c:manualLayout>
          <c:xMode val="edge"/>
          <c:yMode val="edge"/>
          <c:x val="0.1691342087431949"/>
          <c:y val="1.87172200452897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CIUDAD CONECTADA'!$E$59</c:f>
              <c:strCache>
                <c:ptCount val="1"/>
                <c:pt idx="0">
                  <c:v>AVANCE CUATRIENIO IMPULSOR DE AVANCE: CARTAGENA AMIGABLE CON EL AMBIENTE. CORTE 31 DE DICIEMBRE DE 2025</c:v>
                </c:pt>
              </c:strCache>
            </c:strRef>
          </c:tx>
          <c:spPr>
            <a:solidFill>
              <a:srgbClr val="FF0000"/>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2577-4FA9-B369-EA2EEC70722F}"/>
              </c:ext>
            </c:extLst>
          </c:dPt>
          <c:dPt>
            <c:idx val="1"/>
            <c:invertIfNegative val="0"/>
            <c:bubble3D val="0"/>
            <c:spPr>
              <a:solidFill>
                <a:srgbClr val="FFFF00"/>
              </a:solidFill>
              <a:ln>
                <a:noFill/>
              </a:ln>
              <a:effectLst/>
            </c:spPr>
            <c:extLst>
              <c:ext xmlns:c16="http://schemas.microsoft.com/office/drawing/2014/chart" uri="{C3380CC4-5D6E-409C-BE32-E72D297353CC}">
                <c16:uniqueId val="{00000004-E3FC-4D96-9830-E4C5FCAF19D4}"/>
              </c:ext>
            </c:extLst>
          </c:dPt>
          <c:dPt>
            <c:idx val="2"/>
            <c:invertIfNegative val="0"/>
            <c:bubble3D val="0"/>
            <c:spPr>
              <a:solidFill>
                <a:srgbClr val="00B050"/>
              </a:solidFill>
              <a:ln>
                <a:noFill/>
              </a:ln>
              <a:effectLst/>
            </c:spPr>
            <c:extLst>
              <c:ext xmlns:c16="http://schemas.microsoft.com/office/drawing/2014/chart" uri="{C3380CC4-5D6E-409C-BE32-E72D297353CC}">
                <c16:uniqueId val="{00000003-E3FC-4D96-9830-E4C5FCAF19D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6-E3FC-4D96-9830-E4C5FCAF19D4}"/>
              </c:ext>
            </c:extLst>
          </c:dPt>
          <c:dPt>
            <c:idx val="4"/>
            <c:invertIfNegative val="0"/>
            <c:bubble3D val="0"/>
            <c:spPr>
              <a:solidFill>
                <a:srgbClr val="00B050"/>
              </a:solidFill>
              <a:ln>
                <a:noFill/>
              </a:ln>
              <a:effectLst/>
            </c:spPr>
            <c:extLst>
              <c:ext xmlns:c16="http://schemas.microsoft.com/office/drawing/2014/chart" uri="{C3380CC4-5D6E-409C-BE32-E72D297353CC}">
                <c16:uniqueId val="{00000009-4FE2-4077-AF5E-564072A8F340}"/>
              </c:ext>
            </c:extLst>
          </c:dPt>
          <c:dPt>
            <c:idx val="5"/>
            <c:invertIfNegative val="0"/>
            <c:bubble3D val="0"/>
            <c:spPr>
              <a:solidFill>
                <a:srgbClr val="FF9999"/>
              </a:solidFill>
              <a:ln>
                <a:noFill/>
              </a:ln>
              <a:effectLst/>
            </c:spPr>
            <c:extLst>
              <c:ext xmlns:c16="http://schemas.microsoft.com/office/drawing/2014/chart" uri="{C3380CC4-5D6E-409C-BE32-E72D297353CC}">
                <c16:uniqueId val="{0000000B-8BB9-4799-BE5F-65E35893365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CONECTADA'!$E$60:$E$65</c:f>
              <c:numCache>
                <c:formatCode>0.0%</c:formatCode>
                <c:ptCount val="6"/>
                <c:pt idx="0">
                  <c:v>0.37340679841269842</c:v>
                </c:pt>
                <c:pt idx="1">
                  <c:v>0.29423154761904763</c:v>
                </c:pt>
                <c:pt idx="2">
                  <c:v>0.3803111111111111</c:v>
                </c:pt>
                <c:pt idx="3">
                  <c:v>0.35</c:v>
                </c:pt>
                <c:pt idx="4">
                  <c:v>0.62986666666666669</c:v>
                </c:pt>
                <c:pt idx="5">
                  <c:v>0.21262466666666666</c:v>
                </c:pt>
              </c:numCache>
            </c:numRef>
          </c:val>
          <c:extLst>
            <c:ext xmlns:c16="http://schemas.microsoft.com/office/drawing/2014/chart" uri="{C3380CC4-5D6E-409C-BE32-E72D297353CC}">
              <c16:uniqueId val="{00000000-2577-4FA9-B369-EA2EEC70722F}"/>
            </c:ext>
          </c:extLst>
        </c:ser>
        <c:dLbls>
          <c:showLegendKey val="0"/>
          <c:showVal val="0"/>
          <c:showCatName val="0"/>
          <c:showSerName val="0"/>
          <c:showPercent val="0"/>
          <c:showBubbleSize val="0"/>
        </c:dLbls>
        <c:gapWidth val="219"/>
        <c:overlap val="-27"/>
        <c:axId val="431137792"/>
        <c:axId val="431138968"/>
      </c:barChart>
      <c:catAx>
        <c:axId val="43113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1138968"/>
        <c:crosses val="autoZero"/>
        <c:auto val="1"/>
        <c:lblAlgn val="ctr"/>
        <c:lblOffset val="100"/>
        <c:noMultiLvlLbl val="0"/>
      </c:catAx>
      <c:valAx>
        <c:axId val="431138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7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AVANCE CUATRIENIO IMPULSOR DE AVANCE: </a:t>
            </a:r>
            <a:r>
              <a:rPr lang="en-US" sz="1400" b="1" i="0" u="none" strike="noStrike" kern="1200" spc="0" baseline="0">
                <a:solidFill>
                  <a:srgbClr val="000000">
                    <a:lumMod val="65000"/>
                    <a:lumOff val="35000"/>
                  </a:srgbClr>
                </a:solidFill>
                <a:latin typeface="+mn-lt"/>
                <a:ea typeface="+mn-ea"/>
                <a:cs typeface="+mn-cs"/>
              </a:rPr>
              <a:t>CIUDAD HISTORICA Y PATRIMONIAL. PROGRAMA. CORTE </a:t>
            </a:r>
            <a:r>
              <a:rPr lang="es-CO" sz="1400" b="1" i="0" u="none" strike="noStrike" kern="1200" spc="0" baseline="0">
                <a:solidFill>
                  <a:srgbClr val="000000">
                    <a:lumMod val="65000"/>
                    <a:lumOff val="35000"/>
                  </a:srgbClr>
                </a:solidFill>
                <a:latin typeface="+mn-lt"/>
                <a:ea typeface="+mn-ea"/>
                <a:cs typeface="+mn-cs"/>
              </a:rPr>
              <a:t> </a:t>
            </a:r>
            <a:r>
              <a:rPr lang="es-CO" sz="1400" b="1" i="0" u="none" strike="noStrike" baseline="0">
                <a:effectLst/>
              </a:rPr>
              <a:t>31 DE DICIEMBRE DE 2025</a:t>
            </a:r>
            <a:endParaRPr lang="en-US" sz="1400" b="1" i="0" u="none" strike="noStrike" kern="1200" spc="0" baseline="0">
              <a:solidFill>
                <a:srgbClr val="000000">
                  <a:lumMod val="65000"/>
                  <a:lumOff val="35000"/>
                </a:srgbClr>
              </a:solidFill>
              <a:latin typeface="+mn-lt"/>
              <a:ea typeface="+mn-ea"/>
              <a:cs typeface="+mn-cs"/>
            </a:endParaRPr>
          </a:p>
        </c:rich>
      </c:tx>
      <c:layout>
        <c:manualLayout>
          <c:xMode val="edge"/>
          <c:yMode val="edge"/>
          <c:x val="0.12170445371047557"/>
          <c:y val="2.9399798709371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118217483359396E-2"/>
          <c:y val="0.14964392807978255"/>
          <c:w val="0.93579918146215901"/>
          <c:h val="0.59102960527084603"/>
        </c:manualLayout>
      </c:layout>
      <c:barChart>
        <c:barDir val="col"/>
        <c:grouping val="clustered"/>
        <c:varyColors val="0"/>
        <c:ser>
          <c:idx val="0"/>
          <c:order val="0"/>
          <c:tx>
            <c:strRef>
              <c:f>'GRAFICAS CIUDAD CONECTADA'!$E$82</c:f>
              <c:strCache>
                <c:ptCount val="1"/>
                <c:pt idx="0">
                  <c:v>AVANCE CUATRIENIO IMPULSOR DE AVANCE: CIUDAD HISTORICA Y PATRIMONIAL. CORTE 31 DE DICIEMBRE DE 2025</c:v>
                </c:pt>
              </c:strCache>
            </c:strRef>
          </c:tx>
          <c:spPr>
            <a:solidFill>
              <a:schemeClr val="accent1"/>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B686-4180-8003-1552A77C7A1E}"/>
              </c:ext>
            </c:extLst>
          </c:dPt>
          <c:dPt>
            <c:idx val="1"/>
            <c:invertIfNegative val="0"/>
            <c:bubble3D val="0"/>
            <c:spPr>
              <a:solidFill>
                <a:srgbClr val="FF7C80"/>
              </a:solidFill>
              <a:ln>
                <a:noFill/>
              </a:ln>
              <a:effectLst/>
            </c:spPr>
            <c:extLst>
              <c:ext xmlns:c16="http://schemas.microsoft.com/office/drawing/2014/chart" uri="{C3380CC4-5D6E-409C-BE32-E72D297353CC}">
                <c16:uniqueId val="{00000004-9E2F-40C3-A247-71C9F3627560}"/>
              </c:ext>
            </c:extLst>
          </c:dPt>
          <c:dPt>
            <c:idx val="2"/>
            <c:invertIfNegative val="0"/>
            <c:bubble3D val="0"/>
            <c:spPr>
              <a:solidFill>
                <a:srgbClr val="FF0000"/>
              </a:solidFill>
              <a:ln>
                <a:noFill/>
              </a:ln>
              <a:effectLst/>
            </c:spPr>
            <c:extLst>
              <c:ext xmlns:c16="http://schemas.microsoft.com/office/drawing/2014/chart" uri="{C3380CC4-5D6E-409C-BE32-E72D297353CC}">
                <c16:uniqueId val="{00000007-FB70-46FC-A1B8-6D8371160628}"/>
              </c:ext>
            </c:extLst>
          </c:dPt>
          <c:dPt>
            <c:idx val="3"/>
            <c:invertIfNegative val="0"/>
            <c:bubble3D val="0"/>
            <c:spPr>
              <a:solidFill>
                <a:srgbClr val="00B050"/>
              </a:solidFill>
              <a:ln>
                <a:noFill/>
              </a:ln>
              <a:effectLst/>
            </c:spPr>
            <c:extLst>
              <c:ext xmlns:c16="http://schemas.microsoft.com/office/drawing/2014/chart" uri="{C3380CC4-5D6E-409C-BE32-E72D297353CC}">
                <c16:uniqueId val="{00000006-9E2F-40C3-A247-71C9F362756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CONECTADA'!$E$83:$E$86</c:f>
              <c:numCache>
                <c:formatCode>0.0%</c:formatCode>
                <c:ptCount val="4"/>
                <c:pt idx="0">
                  <c:v>0.33279166666666665</c:v>
                </c:pt>
                <c:pt idx="1">
                  <c:v>0.22817499999999999</c:v>
                </c:pt>
                <c:pt idx="2">
                  <c:v>0.1452</c:v>
                </c:pt>
                <c:pt idx="3">
                  <c:v>0.625</c:v>
                </c:pt>
              </c:numCache>
            </c:numRef>
          </c:val>
          <c:extLst>
            <c:ext xmlns:c16="http://schemas.microsoft.com/office/drawing/2014/chart" uri="{C3380CC4-5D6E-409C-BE32-E72D297353CC}">
              <c16:uniqueId val="{00000000-B686-4180-8003-1552A77C7A1E}"/>
            </c:ext>
          </c:extLst>
        </c:ser>
        <c:dLbls>
          <c:showLegendKey val="0"/>
          <c:showVal val="0"/>
          <c:showCatName val="0"/>
          <c:showSerName val="0"/>
          <c:showPercent val="0"/>
          <c:showBubbleSize val="0"/>
        </c:dLbls>
        <c:gapWidth val="219"/>
        <c:overlap val="-27"/>
        <c:axId val="431141320"/>
        <c:axId val="431134656"/>
      </c:barChart>
      <c:catAx>
        <c:axId val="431141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4656"/>
        <c:crosses val="autoZero"/>
        <c:auto val="1"/>
        <c:lblAlgn val="ctr"/>
        <c:lblOffset val="100"/>
        <c:noMultiLvlLbl val="0"/>
      </c:catAx>
      <c:valAx>
        <c:axId val="431134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4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INFRAESTRUCTURA, MOVILIDAD Y ACCESIBILIDAD. PROGRAMAS.</a:t>
            </a:r>
            <a:r>
              <a:rPr lang="en-US" baseline="0"/>
              <a:t> </a:t>
            </a:r>
            <a:r>
              <a:rPr lang="es-CO" sz="1400" b="1" i="0" u="none" strike="noStrike" baseline="0">
                <a:effectLst/>
              </a:rPr>
              <a:t>31 DE DICIEMBRE DE 2025</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CIUDAD CONECTADA'!$E$94</c:f>
              <c:strCache>
                <c:ptCount val="1"/>
                <c:pt idx="0">
                  <c:v>AVANCE CUATRIENIO IMPULSOR DE AVANCE: INFRAESTRUCTURA, MOVILIDAD Y ACCESIBILIDAD.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60C6-4BE7-9189-2007AA0C52D2}"/>
              </c:ext>
            </c:extLst>
          </c:dPt>
          <c:dPt>
            <c:idx val="2"/>
            <c:invertIfNegative val="0"/>
            <c:bubble3D val="0"/>
            <c:spPr>
              <a:solidFill>
                <a:srgbClr val="FF9999"/>
              </a:solidFill>
              <a:ln>
                <a:noFill/>
              </a:ln>
              <a:effectLst/>
            </c:spPr>
            <c:extLst>
              <c:ext xmlns:c16="http://schemas.microsoft.com/office/drawing/2014/chart" uri="{C3380CC4-5D6E-409C-BE32-E72D297353CC}">
                <c16:uniqueId val="{00000005-C3FA-42D2-B644-754811F1239D}"/>
              </c:ext>
            </c:extLst>
          </c:dPt>
          <c:dPt>
            <c:idx val="3"/>
            <c:invertIfNegative val="0"/>
            <c:bubble3D val="0"/>
            <c:spPr>
              <a:solidFill>
                <a:srgbClr val="00B050"/>
              </a:solidFill>
              <a:ln>
                <a:noFill/>
              </a:ln>
              <a:effectLst/>
            </c:spPr>
            <c:extLst>
              <c:ext xmlns:c16="http://schemas.microsoft.com/office/drawing/2014/chart" uri="{C3380CC4-5D6E-409C-BE32-E72D297353CC}">
                <c16:uniqueId val="{00000003-5CE0-4DB2-A4F6-A61F3A9E0D8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CONECTADA'!$E$95:$E$99</c:f>
              <c:numCache>
                <c:formatCode>0.0%</c:formatCode>
                <c:ptCount val="5"/>
                <c:pt idx="0">
                  <c:v>0.63722474587285305</c:v>
                </c:pt>
                <c:pt idx="1">
                  <c:v>1</c:v>
                </c:pt>
                <c:pt idx="2">
                  <c:v>0.19499999999999998</c:v>
                </c:pt>
                <c:pt idx="3">
                  <c:v>0.56493453358717383</c:v>
                </c:pt>
                <c:pt idx="4">
                  <c:v>0.68896444990423822</c:v>
                </c:pt>
              </c:numCache>
            </c:numRef>
          </c:val>
          <c:extLst>
            <c:ext xmlns:c16="http://schemas.microsoft.com/office/drawing/2014/chart" uri="{C3380CC4-5D6E-409C-BE32-E72D297353CC}">
              <c16:uniqueId val="{00000000-60C6-4BE7-9189-2007AA0C52D2}"/>
            </c:ext>
          </c:extLst>
        </c:ser>
        <c:dLbls>
          <c:showLegendKey val="0"/>
          <c:showVal val="0"/>
          <c:showCatName val="0"/>
          <c:showSerName val="0"/>
          <c:showPercent val="0"/>
          <c:showBubbleSize val="0"/>
        </c:dLbls>
        <c:gapWidth val="219"/>
        <c:overlap val="-27"/>
        <c:axId val="431135440"/>
        <c:axId val="431141712"/>
      </c:barChart>
      <c:catAx>
        <c:axId val="43113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41712"/>
        <c:crosses val="autoZero"/>
        <c:auto val="1"/>
        <c:lblAlgn val="ctr"/>
        <c:lblOffset val="100"/>
        <c:noMultiLvlLbl val="0"/>
      </c:catAx>
      <c:valAx>
        <c:axId val="431141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CARTAGENA ORDENADA ALREDEDOR DEL AGUA.  PROGRAMAS.</a:t>
            </a:r>
            <a:r>
              <a:rPr lang="en-US" baseline="0"/>
              <a:t> </a:t>
            </a:r>
            <a:r>
              <a:rPr lang="en-US"/>
              <a:t>CORTE </a:t>
            </a:r>
            <a:r>
              <a:rPr lang="es-CO" sz="1400" b="1" i="0" u="none" strike="noStrike" baseline="0">
                <a:effectLst/>
              </a:rPr>
              <a:t> 31 DE DICIEMBRE DE 2025</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CIUDAD CONECTADA'!$E$103</c:f>
              <c:strCache>
                <c:ptCount val="1"/>
                <c:pt idx="0">
                  <c:v>AVANCE CUATRIENIO IMPULSOR DE AVANCE: CARTAGENA ORDENADA ALREDEDOR DEL AGUA.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C3DF-4779-B6F1-2778FE45C48F}"/>
              </c:ext>
            </c:extLst>
          </c:dPt>
          <c:dPt>
            <c:idx val="1"/>
            <c:invertIfNegative val="0"/>
            <c:bubble3D val="0"/>
            <c:spPr>
              <a:solidFill>
                <a:srgbClr val="FF9999"/>
              </a:solidFill>
              <a:ln>
                <a:noFill/>
              </a:ln>
              <a:effectLst/>
            </c:spPr>
            <c:extLst>
              <c:ext xmlns:c16="http://schemas.microsoft.com/office/drawing/2014/chart" uri="{C3380CC4-5D6E-409C-BE32-E72D297353CC}">
                <c16:uniqueId val="{00000007-F129-442A-91B2-908969E4DFD0}"/>
              </c:ext>
            </c:extLst>
          </c:dPt>
          <c:dPt>
            <c:idx val="2"/>
            <c:invertIfNegative val="0"/>
            <c:bubble3D val="0"/>
            <c:spPr>
              <a:solidFill>
                <a:srgbClr val="00B050"/>
              </a:solidFill>
              <a:ln>
                <a:noFill/>
              </a:ln>
              <a:effectLst/>
            </c:spPr>
            <c:extLst>
              <c:ext xmlns:c16="http://schemas.microsoft.com/office/drawing/2014/chart" uri="{C3380CC4-5D6E-409C-BE32-E72D297353CC}">
                <c16:uniqueId val="{00000008-095B-41A9-A9D1-404F3E84F913}"/>
              </c:ext>
            </c:extLst>
          </c:dPt>
          <c:dPt>
            <c:idx val="3"/>
            <c:invertIfNegative val="0"/>
            <c:bubble3D val="0"/>
            <c:spPr>
              <a:solidFill>
                <a:srgbClr val="00B050"/>
              </a:solidFill>
              <a:ln>
                <a:noFill/>
              </a:ln>
              <a:effectLst/>
            </c:spPr>
            <c:extLst>
              <c:ext xmlns:c16="http://schemas.microsoft.com/office/drawing/2014/chart" uri="{C3380CC4-5D6E-409C-BE32-E72D297353CC}">
                <c16:uniqueId val="{00000003-F129-442A-91B2-908969E4DFD0}"/>
              </c:ext>
            </c:extLst>
          </c:dPt>
          <c:dPt>
            <c:idx val="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F129-442A-91B2-908969E4DFD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CONECTADA'!$E$104:$E$108</c:f>
              <c:numCache>
                <c:formatCode>0.0%</c:formatCode>
                <c:ptCount val="5"/>
                <c:pt idx="0">
                  <c:v>0.51947152777777772</c:v>
                </c:pt>
                <c:pt idx="1">
                  <c:v>0.21344166666666667</c:v>
                </c:pt>
                <c:pt idx="2">
                  <c:v>1</c:v>
                </c:pt>
                <c:pt idx="3">
                  <c:v>0.45</c:v>
                </c:pt>
                <c:pt idx="4">
                  <c:v>0.41444444444444439</c:v>
                </c:pt>
              </c:numCache>
            </c:numRef>
          </c:val>
          <c:extLst>
            <c:ext xmlns:c16="http://schemas.microsoft.com/office/drawing/2014/chart" uri="{C3380CC4-5D6E-409C-BE32-E72D297353CC}">
              <c16:uniqueId val="{00000000-C3DF-4779-B6F1-2778FE45C48F}"/>
            </c:ext>
          </c:extLst>
        </c:ser>
        <c:dLbls>
          <c:showLegendKey val="0"/>
          <c:showVal val="0"/>
          <c:showCatName val="0"/>
          <c:showSerName val="0"/>
          <c:showPercent val="0"/>
          <c:showBubbleSize val="0"/>
        </c:dLbls>
        <c:gapWidth val="219"/>
        <c:overlap val="-27"/>
        <c:axId val="431139360"/>
        <c:axId val="431136616"/>
      </c:barChart>
      <c:catAx>
        <c:axId val="43113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6616"/>
        <c:crosses val="autoZero"/>
        <c:auto val="1"/>
        <c:lblAlgn val="ctr"/>
        <c:lblOffset val="100"/>
        <c:noMultiLvlLbl val="0"/>
      </c:catAx>
      <c:valAx>
        <c:axId val="431136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9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ORDENAMIENTO DEL TERRITORIO. PROGRAMAS.</a:t>
            </a:r>
            <a:r>
              <a:rPr lang="en-US" b="1" baseline="0"/>
              <a:t> </a:t>
            </a:r>
            <a:r>
              <a:rPr lang="en-US" b="1"/>
              <a:t>CORTE </a:t>
            </a:r>
            <a:r>
              <a:rPr lang="es-CO" sz="1400" b="1" i="0" u="none" strike="noStrike" baseline="0">
                <a:effectLst/>
              </a:rPr>
              <a:t> 31 DE DICIEMBRE DE 2025</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'GRAFICAS CIUDAD CONECTADA'!$E$46</c:f>
              <c:strCache>
                <c:ptCount val="1"/>
                <c:pt idx="0">
                  <c:v>AVANCE CUATRIENIO IMPULSOR DE AVANCE: ORDENAMIENTO DEL TERRITORIO. CORTE 31 DE DICIEMBRE DE 2025.</c:v>
                </c:pt>
              </c:strCache>
            </c:strRef>
          </c:tx>
          <c:spPr>
            <a:solidFill>
              <a:srgbClr val="FFFF0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2-A1DD-40C3-8E64-FABB3E7DEB2D}"/>
              </c:ext>
            </c:extLst>
          </c:dPt>
          <c:dPt>
            <c:idx val="1"/>
            <c:invertIfNegative val="0"/>
            <c:bubble3D val="0"/>
            <c:spPr>
              <a:solidFill>
                <a:srgbClr val="FFFF00"/>
              </a:solidFill>
              <a:ln>
                <a:noFill/>
              </a:ln>
              <a:effectLst/>
            </c:spPr>
            <c:extLst>
              <c:ext xmlns:c16="http://schemas.microsoft.com/office/drawing/2014/chart" uri="{C3380CC4-5D6E-409C-BE32-E72D297353CC}">
                <c16:uniqueId val="{00000009-7A67-4C40-A9D5-F1E7E3BADDC3}"/>
              </c:ext>
            </c:extLst>
          </c:dPt>
          <c:dPt>
            <c:idx val="2"/>
            <c:invertIfNegative val="0"/>
            <c:bubble3D val="0"/>
            <c:spPr>
              <a:solidFill>
                <a:srgbClr val="00B050"/>
              </a:solidFill>
              <a:ln>
                <a:noFill/>
              </a:ln>
              <a:effectLst/>
            </c:spPr>
            <c:extLst>
              <c:ext xmlns:c16="http://schemas.microsoft.com/office/drawing/2014/chart" uri="{C3380CC4-5D6E-409C-BE32-E72D297353CC}">
                <c16:uniqueId val="{00000000-5684-460F-AE79-3FBF9328DC1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CONECTADA'!$E$47:$E$49</c:f>
              <c:numCache>
                <c:formatCode>0.0%</c:formatCode>
                <c:ptCount val="3"/>
                <c:pt idx="0">
                  <c:v>0.45684270833333329</c:v>
                </c:pt>
                <c:pt idx="1">
                  <c:v>0.34278541666666668</c:v>
                </c:pt>
                <c:pt idx="2">
                  <c:v>0.57089999999999996</c:v>
                </c:pt>
              </c:numCache>
            </c:numRef>
          </c:val>
          <c:extLst>
            <c:ext xmlns:c16="http://schemas.microsoft.com/office/drawing/2014/chart" uri="{C3380CC4-5D6E-409C-BE32-E72D297353CC}">
              <c16:uniqueId val="{00000000-5463-4B07-A4D0-6F5F33F2DE21}"/>
            </c:ext>
          </c:extLst>
        </c:ser>
        <c:dLbls>
          <c:showLegendKey val="0"/>
          <c:showVal val="0"/>
          <c:showCatName val="0"/>
          <c:showSerName val="0"/>
          <c:showPercent val="0"/>
          <c:showBubbleSize val="0"/>
        </c:dLbls>
        <c:gapWidth val="219"/>
        <c:overlap val="-27"/>
        <c:axId val="431139752"/>
        <c:axId val="431134264"/>
      </c:barChart>
      <c:catAx>
        <c:axId val="43113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4264"/>
        <c:crosses val="autoZero"/>
        <c:auto val="1"/>
        <c:lblAlgn val="ctr"/>
        <c:lblOffset val="100"/>
        <c:noMultiLvlLbl val="0"/>
      </c:catAx>
      <c:valAx>
        <c:axId val="4311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139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500" b="1"/>
              <a:t>AVANCE RESPECTO AL CUATRIENIO DE LOS COMPONENTES IMPULSORES LINEA </a:t>
            </a:r>
            <a:r>
              <a:rPr lang="es-CO" sz="1500" b="1" i="0" u="none" strike="noStrike" kern="1200" spc="0" baseline="0">
                <a:solidFill>
                  <a:srgbClr val="000000">
                    <a:lumMod val="65000"/>
                    <a:lumOff val="35000"/>
                  </a:srgbClr>
                </a:solidFill>
                <a:latin typeface="+mn-lt"/>
                <a:ea typeface="+mn-ea"/>
                <a:cs typeface="+mn-cs"/>
              </a:rPr>
              <a:t>ESTRATÉGICA CIUDAD CONECTADA. COMPARATIVO DICIEMBRE DE  2024 -  </a:t>
            </a:r>
            <a:r>
              <a:rPr lang="es-CO" sz="1400" b="1" i="0" u="none" strike="noStrike" baseline="0">
                <a:effectLst/>
              </a:rPr>
              <a:t>31 DE DICIEMBRE DE 2025</a:t>
            </a:r>
            <a:endParaRPr lang="es-CO" sz="1500" b="1" i="0" u="none" strike="noStrike" kern="1200" spc="0" baseline="0">
              <a:solidFill>
                <a:srgbClr val="000000">
                  <a:lumMod val="65000"/>
                  <a:lumOff val="35000"/>
                </a:srgbClr>
              </a:solidFill>
              <a:latin typeface="+mn-lt"/>
              <a:ea typeface="+mn-ea"/>
              <a:cs typeface="+mn-cs"/>
            </a:endParaRPr>
          </a:p>
        </c:rich>
      </c:tx>
      <c:layout>
        <c:manualLayout>
          <c:xMode val="edge"/>
          <c:yMode val="edge"/>
          <c:x val="0.10282195447303445"/>
          <c:y val="8.737439930100480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0.45219100013434554</c:v>
                </c:pt>
                <c:pt idx="1">
                  <c:v>0.46391147747747752</c:v>
                </c:pt>
                <c:pt idx="2">
                  <c:v>0.28910714285714284</c:v>
                </c:pt>
                <c:pt idx="3">
                  <c:v>0.42034722222222226</c:v>
                </c:pt>
                <c:pt idx="4">
                  <c:v>0.57466101842657324</c:v>
                </c:pt>
                <c:pt idx="5">
                  <c:v>0.45013730158730159</c:v>
                </c:pt>
                <c:pt idx="6">
                  <c:v>0.61280234536891931</c:v>
                </c:pt>
                <c:pt idx="7">
                  <c:v>0.46629952380952377</c:v>
                </c:pt>
              </c:numCache>
            </c:numRef>
          </c:val>
          <c:extLst>
            <c:ext xmlns:c16="http://schemas.microsoft.com/office/drawing/2014/chart" uri="{C3380CC4-5D6E-409C-BE32-E72D297353CC}">
              <c16:uniqueId val="{00000000-CFAA-4BBB-A7CC-EB9061389E8F}"/>
            </c:ext>
          </c:extLst>
        </c:ser>
        <c:ser>
          <c:idx val="1"/>
          <c:order val="1"/>
          <c:tx>
            <c:strRef>
              <c:f>'GRAFICAS CIUDAD CONECTADA'!$E$4</c:f>
              <c:strCache>
                <c:ptCount val="1"/>
                <c:pt idx="0">
                  <c:v>LOGRO VIGENCIA  CORTE 31 DE DICIEMBRE DE 2025 RESPECTO AL CUATRIENIO</c:v>
                </c:pt>
              </c:strCache>
            </c:strRef>
          </c:tx>
          <c:spPr>
            <a:solidFill>
              <a:srgbClr val="FF7C8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2-34BC-4BE7-8D8C-4DBB55BAAF5B}"/>
              </c:ext>
            </c:extLst>
          </c:dPt>
          <c:dPt>
            <c:idx val="1"/>
            <c:invertIfNegative val="0"/>
            <c:bubble3D val="0"/>
            <c:spPr>
              <a:solidFill>
                <a:srgbClr val="00B050"/>
              </a:solidFill>
              <a:ln>
                <a:noFill/>
              </a:ln>
              <a:effectLst/>
            </c:spPr>
            <c:extLst>
              <c:ext xmlns:c16="http://schemas.microsoft.com/office/drawing/2014/chart" uri="{C3380CC4-5D6E-409C-BE32-E72D297353CC}">
                <c16:uniqueId val="{00000003-34BC-4BE7-8D8C-4DBB55BAAF5B}"/>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A-368C-46D6-B5D0-FE12A40F95B8}"/>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C-1053-4D1D-9057-CA61474A2243}"/>
              </c:ext>
            </c:extLst>
          </c:dPt>
          <c:dPt>
            <c:idx val="4"/>
            <c:invertIfNegative val="0"/>
            <c:bubble3D val="0"/>
            <c:spPr>
              <a:solidFill>
                <a:srgbClr val="00B050"/>
              </a:solidFill>
              <a:ln>
                <a:noFill/>
              </a:ln>
              <a:effectLst/>
            </c:spPr>
            <c:extLst>
              <c:ext xmlns:c16="http://schemas.microsoft.com/office/drawing/2014/chart" uri="{C3380CC4-5D6E-409C-BE32-E72D297353CC}">
                <c16:uniqueId val="{00000005-34BC-4BE7-8D8C-4DBB55BAAF5B}"/>
              </c:ext>
            </c:extLst>
          </c:dPt>
          <c:dPt>
            <c:idx val="5"/>
            <c:invertIfNegative val="0"/>
            <c:bubble3D val="0"/>
            <c:spPr>
              <a:solidFill>
                <a:srgbClr val="FFFF00"/>
              </a:solidFill>
              <a:ln>
                <a:noFill/>
              </a:ln>
              <a:effectLst/>
            </c:spPr>
            <c:extLst>
              <c:ext xmlns:c16="http://schemas.microsoft.com/office/drawing/2014/chart" uri="{C3380CC4-5D6E-409C-BE32-E72D297353CC}">
                <c16:uniqueId val="{0000000F-F3E6-4EF4-AE2D-C372B37F785E}"/>
              </c:ext>
            </c:extLst>
          </c:dPt>
          <c:dPt>
            <c:idx val="6"/>
            <c:invertIfNegative val="0"/>
            <c:bubble3D val="0"/>
            <c:spPr>
              <a:solidFill>
                <a:srgbClr val="00B050"/>
              </a:solidFill>
              <a:ln>
                <a:noFill/>
              </a:ln>
              <a:effectLst/>
            </c:spPr>
            <c:extLst>
              <c:ext xmlns:c16="http://schemas.microsoft.com/office/drawing/2014/chart" uri="{C3380CC4-5D6E-409C-BE32-E72D297353CC}">
                <c16:uniqueId val="{00000006-34BC-4BE7-8D8C-4DBB55BAAF5B}"/>
              </c:ext>
            </c:extLst>
          </c:dPt>
          <c:dPt>
            <c:idx val="7"/>
            <c:invertIfNegative val="0"/>
            <c:bubble3D val="0"/>
            <c:spPr>
              <a:solidFill>
                <a:srgbClr val="00B050"/>
              </a:solidFill>
              <a:ln>
                <a:noFill/>
              </a:ln>
              <a:effectLst/>
            </c:spPr>
            <c:extLst>
              <c:ext xmlns:c16="http://schemas.microsoft.com/office/drawing/2014/chart" uri="{C3380CC4-5D6E-409C-BE32-E72D297353CC}">
                <c16:uniqueId val="{00000008-34BC-4BE7-8D8C-4DBB55BAAF5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0.48114752787939219</c:v>
                </c:pt>
                <c:pt idx="1">
                  <c:v>0.45684270833333329</c:v>
                </c:pt>
                <c:pt idx="2">
                  <c:v>0.40500089285714286</c:v>
                </c:pt>
                <c:pt idx="3">
                  <c:v>0.37340679841269842</c:v>
                </c:pt>
                <c:pt idx="4">
                  <c:v>0.6222393044098441</c:v>
                </c:pt>
                <c:pt idx="5">
                  <c:v>0.33279166666666665</c:v>
                </c:pt>
                <c:pt idx="6">
                  <c:v>0.63722474587285305</c:v>
                </c:pt>
                <c:pt idx="7">
                  <c:v>0.51947152777777772</c:v>
                </c:pt>
              </c:numCache>
            </c:numRef>
          </c:val>
          <c:extLst>
            <c:ext xmlns:c16="http://schemas.microsoft.com/office/drawing/2014/chart" uri="{C3380CC4-5D6E-409C-BE32-E72D297353CC}">
              <c16:uniqueId val="{00000001-CFAA-4BBB-A7CC-EB9061389E8F}"/>
            </c:ext>
          </c:extLst>
        </c:ser>
        <c:ser>
          <c:idx val="2"/>
          <c:order val="2"/>
          <c:tx>
            <c:strRef>
              <c:f>'GRAFICAS CIUDAD CONECTADA'!$F$4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CONECTADA'!$F$5:$F$12</c:f>
              <c:numCache>
                <c:formatCode>0.0%</c:formatCode>
                <c:ptCount val="8"/>
                <c:pt idx="0">
                  <c:v>0.22160323916687383</c:v>
                </c:pt>
                <c:pt idx="1">
                  <c:v>0.23386643243243244</c:v>
                </c:pt>
                <c:pt idx="2">
                  <c:v>0.16672619047619047</c:v>
                </c:pt>
                <c:pt idx="3">
                  <c:v>0.13760416666666669</c:v>
                </c:pt>
                <c:pt idx="4">
                  <c:v>0.34751855340367338</c:v>
                </c:pt>
                <c:pt idx="5">
                  <c:v>0.15124841269841269</c:v>
                </c:pt>
                <c:pt idx="6">
                  <c:v>0.28704669626851897</c:v>
                </c:pt>
                <c:pt idx="7">
                  <c:v>0.22721222222222223</c:v>
                </c:pt>
              </c:numCache>
            </c:numRef>
          </c:val>
          <c:extLst>
            <c:ext xmlns:c16="http://schemas.microsoft.com/office/drawing/2014/chart" uri="{C3380CC4-5D6E-409C-BE32-E72D297353CC}">
              <c16:uniqueId val="{00000002-CFAA-4BBB-A7CC-EB9061389E8F}"/>
            </c:ext>
          </c:extLst>
        </c:ser>
        <c:dLbls>
          <c:showLegendKey val="0"/>
          <c:showVal val="0"/>
          <c:showCatName val="0"/>
          <c:showSerName val="0"/>
          <c:showPercent val="0"/>
          <c:showBubbleSize val="0"/>
        </c:dLbls>
        <c:gapWidth val="219"/>
        <c:overlap val="-27"/>
        <c:axId val="431140536"/>
        <c:axId val="432684888"/>
      </c:barChart>
      <c:catAx>
        <c:axId val="4311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4888"/>
        <c:crosses val="autoZero"/>
        <c:auto val="1"/>
        <c:lblAlgn val="ctr"/>
        <c:lblOffset val="100"/>
        <c:noMultiLvlLbl val="0"/>
      </c:catAx>
      <c:valAx>
        <c:axId val="432684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1140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CONECTADA'!$E$54</c:f>
              <c:strCache>
                <c:ptCount val="1"/>
                <c:pt idx="0">
                  <c:v>AVANCE CUATRIENIO IMPULSOR DE AVANCE: CONTROL URBANISTICO. CORTE 31 DE DICIEMBRE DE 2025</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C7CF-4DD4-9817-1883B688708F}"/>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A-C7CF-4DD4-9817-1883B688708F}"/>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13-C7CF-4DD4-9817-1883B688708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CONECTADA'!$C$55:$C$57</c:f>
              <c:strCache>
                <c:ptCount val="3"/>
                <c:pt idx="0">
                  <c:v> Control Urbanístico y Territorial
</c:v>
                </c:pt>
                <c:pt idx="1">
                  <c:v> CARTAGENA AVANZA EN EL FORTALECIMIENTO DEL PLAN DE NORMALIZACIÓN URBANÍSTICA</c:v>
                </c:pt>
                <c:pt idx="2">
                  <c:v> RECUPERANDO LA GOBERNANZA URBANÍSTICA, CARTAGENA VUELVE A BRILLAR</c:v>
                </c:pt>
              </c:strCache>
            </c:strRef>
          </c:cat>
          <c:val>
            <c:numRef>
              <c:f>'GRAFICAS CIUDAD CONECTADA'!$E$55:$E$57</c:f>
              <c:numCache>
                <c:formatCode>0.0%</c:formatCode>
                <c:ptCount val="3"/>
                <c:pt idx="0">
                  <c:v>0.40500089285714286</c:v>
                </c:pt>
                <c:pt idx="1">
                  <c:v>0.43000178571428571</c:v>
                </c:pt>
                <c:pt idx="2">
                  <c:v>0.38</c:v>
                </c:pt>
              </c:numCache>
            </c:numRef>
          </c:val>
          <c:extLst>
            <c:ext xmlns:c16="http://schemas.microsoft.com/office/drawing/2014/chart" uri="{C3380CC4-5D6E-409C-BE32-E72D297353CC}">
              <c16:uniqueId val="{00000000-C7CF-4DD4-9817-1883B688708F}"/>
            </c:ext>
          </c:extLst>
        </c:ser>
        <c:dLbls>
          <c:showLegendKey val="0"/>
          <c:showVal val="0"/>
          <c:showCatName val="0"/>
          <c:showSerName val="0"/>
          <c:showPercent val="0"/>
          <c:showBubbleSize val="0"/>
        </c:dLbls>
        <c:gapWidth val="219"/>
        <c:overlap val="-27"/>
        <c:axId val="432688416"/>
        <c:axId val="432686064"/>
      </c:barChart>
      <c:catAx>
        <c:axId val="43268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86064"/>
        <c:crosses val="autoZero"/>
        <c:auto val="1"/>
        <c:lblAlgn val="ctr"/>
        <c:lblOffset val="100"/>
        <c:noMultiLvlLbl val="0"/>
      </c:catAx>
      <c:valAx>
        <c:axId val="432686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32688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CONECTADA'!$E$70</c:f>
              <c:strCache>
                <c:ptCount val="1"/>
                <c:pt idx="0">
                  <c:v>AVANCE CUATRIENIO IMPULSOR DE AVANCE: CARTAGENA ADAPTADA AL CLIMA Y RESILIENTE.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7A18-4B95-BEB8-3FD875E0A15E}"/>
              </c:ext>
            </c:extLst>
          </c:dPt>
          <c:dPt>
            <c:idx val="1"/>
            <c:invertIfNegative val="0"/>
            <c:bubble3D val="0"/>
            <c:spPr>
              <a:solidFill>
                <a:srgbClr val="00B050"/>
              </a:solidFill>
              <a:ln>
                <a:noFill/>
              </a:ln>
              <a:effectLst/>
            </c:spPr>
            <c:extLst>
              <c:ext xmlns:c16="http://schemas.microsoft.com/office/drawing/2014/chart" uri="{C3380CC4-5D6E-409C-BE32-E72D297353CC}">
                <c16:uniqueId val="{00000003-7A18-4B95-BEB8-3FD875E0A15E}"/>
              </c:ext>
            </c:extLst>
          </c:dPt>
          <c:dPt>
            <c:idx val="2"/>
            <c:invertIfNegative val="0"/>
            <c:bubble3D val="0"/>
            <c:spPr>
              <a:solidFill>
                <a:srgbClr val="00B050"/>
              </a:solidFill>
              <a:ln>
                <a:noFill/>
              </a:ln>
              <a:effectLst/>
            </c:spPr>
            <c:extLst>
              <c:ext xmlns:c16="http://schemas.microsoft.com/office/drawing/2014/chart" uri="{C3380CC4-5D6E-409C-BE32-E72D297353CC}">
                <c16:uniqueId val="{00000005-7A18-4B95-BEB8-3FD875E0A15E}"/>
              </c:ext>
            </c:extLst>
          </c:dPt>
          <c:dPt>
            <c:idx val="4"/>
            <c:invertIfNegative val="0"/>
            <c:bubble3D val="0"/>
            <c:spPr>
              <a:solidFill>
                <a:srgbClr val="00B050"/>
              </a:solidFill>
              <a:ln>
                <a:noFill/>
              </a:ln>
              <a:effectLst/>
            </c:spPr>
            <c:extLst>
              <c:ext xmlns:c16="http://schemas.microsoft.com/office/drawing/2014/chart" uri="{C3380CC4-5D6E-409C-BE32-E72D297353CC}">
                <c16:uniqueId val="{00000007-7A18-4B95-BEB8-3FD875E0A15E}"/>
              </c:ext>
            </c:extLst>
          </c:dPt>
          <c:dPt>
            <c:idx val="5"/>
            <c:invertIfNegative val="0"/>
            <c:bubble3D val="0"/>
            <c:spPr>
              <a:solidFill>
                <a:srgbClr val="FFFF00"/>
              </a:solidFill>
              <a:ln>
                <a:noFill/>
              </a:ln>
              <a:effectLst/>
            </c:spPr>
            <c:extLst>
              <c:ext xmlns:c16="http://schemas.microsoft.com/office/drawing/2014/chart" uri="{C3380CC4-5D6E-409C-BE32-E72D297353CC}">
                <c16:uniqueId val="{00000009-7A18-4B95-BEB8-3FD875E0A15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CONECTADA'!$E$71:$E$77</c:f>
              <c:numCache>
                <c:formatCode>0.0%</c:formatCode>
                <c:ptCount val="7"/>
                <c:pt idx="0">
                  <c:v>0.6222393044098441</c:v>
                </c:pt>
                <c:pt idx="1">
                  <c:v>0.59166666666666667</c:v>
                </c:pt>
                <c:pt idx="2">
                  <c:v>0.67886363636363634</c:v>
                </c:pt>
                <c:pt idx="3">
                  <c:v>0.74396135265700469</c:v>
                </c:pt>
                <c:pt idx="4">
                  <c:v>0.72822988505747122</c:v>
                </c:pt>
                <c:pt idx="5">
                  <c:v>0.2857142857142857</c:v>
                </c:pt>
                <c:pt idx="6">
                  <c:v>0.70499999999999996</c:v>
                </c:pt>
              </c:numCache>
            </c:numRef>
          </c:val>
          <c:extLst>
            <c:ext xmlns:c16="http://schemas.microsoft.com/office/drawing/2014/chart" uri="{C3380CC4-5D6E-409C-BE32-E72D297353CC}">
              <c16:uniqueId val="{0000000A-7A18-4B95-BEB8-3FD875E0A15E}"/>
            </c:ext>
          </c:extLst>
        </c:ser>
        <c:dLbls>
          <c:showLegendKey val="0"/>
          <c:showVal val="0"/>
          <c:showCatName val="0"/>
          <c:showSerName val="0"/>
          <c:showPercent val="0"/>
          <c:showBubbleSize val="0"/>
        </c:dLbls>
        <c:gapWidth val="219"/>
        <c:overlap val="-27"/>
        <c:axId val="432684104"/>
        <c:axId val="432687632"/>
      </c:barChart>
      <c:catAx>
        <c:axId val="43268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7632"/>
        <c:crosses val="autoZero"/>
        <c:auto val="1"/>
        <c:lblAlgn val="ctr"/>
        <c:lblOffset val="100"/>
        <c:noMultiLvlLbl val="0"/>
      </c:catAx>
      <c:valAx>
        <c:axId val="432687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4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LINEA ESTRATEGICA INNOVACIÓN Y PARTICIPACIÓN.</a:t>
            </a:r>
            <a:r>
              <a:rPr lang="es-CO" baseline="0"/>
              <a:t> 31 DE DICIEMBRE DE 2025.</a:t>
            </a:r>
            <a:endParaRPr lang="es-CO"/>
          </a:p>
        </c:rich>
      </c:tx>
      <c:overlay val="0"/>
      <c:spPr>
        <a:noFill/>
        <a:ln>
          <a:noFill/>
        </a:ln>
        <a:effectLst/>
      </c:spPr>
      <c:txPr>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2173814017049522E-2"/>
          <c:y val="0.15184659911439732"/>
          <c:w val="0.92445720202573123"/>
          <c:h val="0.52954857369365627"/>
        </c:manualLayout>
      </c:layout>
      <c:barChart>
        <c:barDir val="col"/>
        <c:grouping val="clustered"/>
        <c:varyColors val="0"/>
        <c:ser>
          <c:idx val="0"/>
          <c:order val="0"/>
          <c:tx>
            <c:strRef>
              <c:f>'GRAFICAS INNOVACIÓN Y PARTICIPA'!$D$4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5B-44C3-AD7C-974C33D8D331}"/>
                </c:ext>
              </c:extLst>
            </c:dLbl>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0.4993734663770556</c:v>
                </c:pt>
                <c:pt idx="1">
                  <c:v>0.44564814814814813</c:v>
                </c:pt>
                <c:pt idx="2">
                  <c:v>0.4688387775963947</c:v>
                </c:pt>
                <c:pt idx="3">
                  <c:v>0.50982794224574346</c:v>
                </c:pt>
                <c:pt idx="4">
                  <c:v>0.5349577019952263</c:v>
                </c:pt>
                <c:pt idx="5">
                  <c:v>0.49043977987101872</c:v>
                </c:pt>
                <c:pt idx="6">
                  <c:v>0.50808654572940293</c:v>
                </c:pt>
              </c:numCache>
            </c:numRef>
          </c:val>
          <c:extLst>
            <c:ext xmlns:c16="http://schemas.microsoft.com/office/drawing/2014/chart" uri="{C3380CC4-5D6E-409C-BE32-E72D297353CC}">
              <c16:uniqueId val="{00000001-BA5B-44C3-AD7C-974C33D8D331}"/>
            </c:ext>
          </c:extLst>
        </c:ser>
        <c:ser>
          <c:idx val="1"/>
          <c:order val="1"/>
          <c:tx>
            <c:strRef>
              <c:f>'GRAFICAS INNOVACIÓN Y PARTICIPA'!$E$4</c:f>
              <c:strCache>
                <c:ptCount val="1"/>
                <c:pt idx="0">
                  <c:v>LOGRO VIGENCIA  CORTE 31 DE DICIEMBRE DE 2025 RESPECTO AL CUATRIENIO</c:v>
                </c:pt>
              </c:strCache>
            </c:strRef>
          </c:tx>
          <c:spPr>
            <a:solidFill>
              <a:srgbClr val="FF7C8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0-E8A1-4F05-AD95-03154DD19C70}"/>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E8A1-4F05-AD95-03154DD19C70}"/>
              </c:ext>
            </c:extLst>
          </c:dPt>
          <c:dPt>
            <c:idx val="2"/>
            <c:invertIfNegative val="0"/>
            <c:bubble3D val="0"/>
            <c:spPr>
              <a:solidFill>
                <a:srgbClr val="00B050"/>
              </a:solidFill>
              <a:ln>
                <a:noFill/>
              </a:ln>
              <a:effectLst/>
            </c:spPr>
            <c:extLst>
              <c:ext xmlns:c16="http://schemas.microsoft.com/office/drawing/2014/chart" uri="{C3380CC4-5D6E-409C-BE32-E72D297353CC}">
                <c16:uniqueId val="{00000004-E8A1-4F05-AD95-03154DD19C70}"/>
              </c:ext>
            </c:extLst>
          </c:dPt>
          <c:dPt>
            <c:idx val="3"/>
            <c:invertIfNegative val="0"/>
            <c:bubble3D val="0"/>
            <c:spPr>
              <a:solidFill>
                <a:srgbClr val="00B050"/>
              </a:solidFill>
              <a:ln>
                <a:noFill/>
              </a:ln>
              <a:effectLst/>
            </c:spPr>
            <c:extLst>
              <c:ext xmlns:c16="http://schemas.microsoft.com/office/drawing/2014/chart" uri="{C3380CC4-5D6E-409C-BE32-E72D297353CC}">
                <c16:uniqueId val="{00000005-E8A1-4F05-AD95-03154DD19C70}"/>
              </c:ext>
            </c:extLst>
          </c:dPt>
          <c:dPt>
            <c:idx val="4"/>
            <c:invertIfNegative val="0"/>
            <c:bubble3D val="0"/>
            <c:spPr>
              <a:solidFill>
                <a:srgbClr val="00B050"/>
              </a:solidFill>
              <a:ln>
                <a:noFill/>
              </a:ln>
              <a:effectLst/>
            </c:spPr>
            <c:extLst>
              <c:ext xmlns:c16="http://schemas.microsoft.com/office/drawing/2014/chart" uri="{C3380CC4-5D6E-409C-BE32-E72D297353CC}">
                <c16:uniqueId val="{00000007-E8A1-4F05-AD95-03154DD19C70}"/>
              </c:ext>
            </c:extLst>
          </c:dPt>
          <c:dPt>
            <c:idx val="5"/>
            <c:invertIfNegative val="0"/>
            <c:bubble3D val="0"/>
            <c:spPr>
              <a:solidFill>
                <a:srgbClr val="00B050"/>
              </a:solidFill>
              <a:ln>
                <a:noFill/>
              </a:ln>
              <a:effectLst/>
            </c:spPr>
            <c:extLst>
              <c:ext xmlns:c16="http://schemas.microsoft.com/office/drawing/2014/chart" uri="{C3380CC4-5D6E-409C-BE32-E72D297353CC}">
                <c16:uniqueId val="{00000008-E8A1-4F05-AD95-03154DD19C70}"/>
              </c:ext>
            </c:extLst>
          </c:dPt>
          <c:dPt>
            <c:idx val="6"/>
            <c:invertIfNegative val="0"/>
            <c:bubble3D val="0"/>
            <c:spPr>
              <a:solidFill>
                <a:srgbClr val="00B050"/>
              </a:solidFill>
              <a:ln>
                <a:noFill/>
              </a:ln>
              <a:effectLst/>
            </c:spPr>
            <c:extLst>
              <c:ext xmlns:c16="http://schemas.microsoft.com/office/drawing/2014/chart" uri="{C3380CC4-5D6E-409C-BE32-E72D297353CC}">
                <c16:uniqueId val="{0000000A-E8A1-4F05-AD95-03154DD19C70}"/>
              </c:ext>
            </c:extLst>
          </c:dPt>
          <c:dLbls>
            <c:dLbl>
              <c:idx val="0"/>
              <c:layout>
                <c:manualLayout>
                  <c:x val="8.90471950133570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A1-4F05-AD95-03154DD19C70}"/>
                </c:ext>
              </c:extLst>
            </c:dLbl>
            <c:dLbl>
              <c:idx val="6"/>
              <c:layout>
                <c:manualLayout>
                  <c:x val="1.1130899376669634E-2"/>
                  <c:y val="-4.63777423413832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A1-4F05-AD95-03154DD19C70}"/>
                </c:ext>
              </c:extLst>
            </c:dLbl>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0.54534437455673601</c:v>
                </c:pt>
                <c:pt idx="1">
                  <c:v>0.40580555555555553</c:v>
                </c:pt>
                <c:pt idx="2">
                  <c:v>0.46666914224150913</c:v>
                </c:pt>
                <c:pt idx="3">
                  <c:v>0.77712521124768763</c:v>
                </c:pt>
                <c:pt idx="4">
                  <c:v>0.52344420487663357</c:v>
                </c:pt>
                <c:pt idx="5">
                  <c:v>0.4683245805089773</c:v>
                </c:pt>
                <c:pt idx="6">
                  <c:v>0.56069755291005297</c:v>
                </c:pt>
              </c:numCache>
            </c:numRef>
          </c:val>
          <c:extLst>
            <c:ext xmlns:c16="http://schemas.microsoft.com/office/drawing/2014/chart" uri="{C3380CC4-5D6E-409C-BE32-E72D297353CC}">
              <c16:uniqueId val="{00000002-BA5B-44C3-AD7C-974C33D8D331}"/>
            </c:ext>
          </c:extLst>
        </c:ser>
        <c:dLbls>
          <c:showLegendKey val="0"/>
          <c:showVal val="0"/>
          <c:showCatName val="0"/>
          <c:showSerName val="0"/>
          <c:showPercent val="0"/>
          <c:showBubbleSize val="0"/>
        </c:dLbls>
        <c:gapWidth val="219"/>
        <c:overlap val="-27"/>
        <c:axId val="432690376"/>
        <c:axId val="432681752"/>
      </c:barChart>
      <c:catAx>
        <c:axId val="43269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2681752"/>
        <c:crosses val="autoZero"/>
        <c:auto val="1"/>
        <c:lblAlgn val="ctr"/>
        <c:lblOffset val="100"/>
        <c:noMultiLvlLbl val="0"/>
      </c:catAx>
      <c:valAx>
        <c:axId val="432681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2690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b="1"/>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r>
              <a:rPr lang="es-CO" sz="1100" b="1"/>
              <a:t>AVANCE </a:t>
            </a:r>
            <a:r>
              <a:rPr lang="es-CO" sz="1100" b="1" i="0" u="none" strike="noStrike" kern="1200" spc="0" baseline="0">
                <a:solidFill>
                  <a:srgbClr val="000000">
                    <a:lumMod val="65000"/>
                    <a:lumOff val="35000"/>
                  </a:srgbClr>
                </a:solidFill>
                <a:latin typeface="+mn-lt"/>
                <a:ea typeface="+mn-ea"/>
                <a:cs typeface="+mn-cs"/>
              </a:rPr>
              <a:t>RESPECTO AL CUATRIENIO DE LOS COMPONENTES IMPULSORES LINEA ESTRATEGICA SEGURIDAD HUMANA  31 DE DICIEMBRE 2025. PONDERADO.</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HUMANA'!$R$4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HUMANA'!$R$5:$R$10</c:f>
              <c:numCache>
                <c:formatCode>0.0%</c:formatCode>
                <c:ptCount val="6"/>
                <c:pt idx="0">
                  <c:v>0.44946141749228297</c:v>
                </c:pt>
                <c:pt idx="1">
                  <c:v>0.63330030900374967</c:v>
                </c:pt>
                <c:pt idx="2">
                  <c:v>0.43724234496124026</c:v>
                </c:pt>
                <c:pt idx="3">
                  <c:v>0.52883823529411766</c:v>
                </c:pt>
                <c:pt idx="4">
                  <c:v>0.49009351856437344</c:v>
                </c:pt>
                <c:pt idx="5">
                  <c:v>0.43445002459917403</c:v>
                </c:pt>
              </c:numCache>
            </c:numRef>
          </c:val>
          <c:extLst>
            <c:ext xmlns:c16="http://schemas.microsoft.com/office/drawing/2014/chart" uri="{C3380CC4-5D6E-409C-BE32-E72D297353CC}">
              <c16:uniqueId val="{00000000-7F56-45D2-93AE-5A4564E1B2B4}"/>
            </c:ext>
          </c:extLst>
        </c:ser>
        <c:ser>
          <c:idx val="1"/>
          <c:order val="1"/>
          <c:tx>
            <c:strRef>
              <c:f>'GRAFICAS SEGURIDAD HUMANA'!$S$4</c:f>
              <c:strCache>
                <c:ptCount val="1"/>
                <c:pt idx="0">
                  <c:v>LOGRO CORTE  31 DE DICIEMBRE DE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HUMANA'!$S$5:$S$10</c:f>
              <c:numCache>
                <c:formatCode>0.0%</c:formatCode>
                <c:ptCount val="6"/>
                <c:pt idx="0">
                  <c:v>0.4762878624287053</c:v>
                </c:pt>
                <c:pt idx="1">
                  <c:v>0.56618942768161484</c:v>
                </c:pt>
                <c:pt idx="2">
                  <c:v>0.49297341860465116</c:v>
                </c:pt>
                <c:pt idx="3">
                  <c:v>0.40754170935687423</c:v>
                </c:pt>
                <c:pt idx="4">
                  <c:v>0.46920061064175028</c:v>
                </c:pt>
                <c:pt idx="5">
                  <c:v>0.46227019141616099</c:v>
                </c:pt>
              </c:numCache>
            </c:numRef>
          </c:val>
          <c:extLst>
            <c:ext xmlns:c16="http://schemas.microsoft.com/office/drawing/2014/chart" uri="{C3380CC4-5D6E-409C-BE32-E72D297353CC}">
              <c16:uniqueId val="{00000001-7F56-45D2-93AE-5A4564E1B2B4}"/>
            </c:ext>
          </c:extLst>
        </c:ser>
        <c:dLbls>
          <c:showLegendKey val="0"/>
          <c:showVal val="0"/>
          <c:showCatName val="0"/>
          <c:showSerName val="0"/>
          <c:showPercent val="0"/>
          <c:showBubbleSize val="0"/>
        </c:dLbls>
        <c:gapWidth val="219"/>
        <c:overlap val="-27"/>
        <c:axId val="428036688"/>
        <c:axId val="428036296"/>
      </c:barChart>
      <c:catAx>
        <c:axId val="42803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6296"/>
        <c:crosses val="autoZero"/>
        <c:auto val="1"/>
        <c:lblAlgn val="ctr"/>
        <c:lblOffset val="100"/>
        <c:noMultiLvlLbl val="0"/>
      </c:catAx>
      <c:valAx>
        <c:axId val="428036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6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s-CO" sz="1400" b="1"/>
              <a:t>AVANCE RESPECTO AL CUATRIENIO DE </a:t>
            </a:r>
            <a:r>
              <a:rPr lang="es-CO" sz="1400" b="1" i="0" u="none" strike="noStrike" kern="1200" spc="0" baseline="0">
                <a:solidFill>
                  <a:srgbClr val="000000">
                    <a:lumMod val="65000"/>
                    <a:lumOff val="35000"/>
                  </a:srgbClr>
                </a:solidFill>
                <a:latin typeface="+mn-lt"/>
                <a:ea typeface="+mn-ea"/>
                <a:cs typeface="+mn-cs"/>
              </a:rPr>
              <a:t>LOS COMPONENTES IMPULSORES LINEA ESTRATEGICA INNOVACIÓN Y PARTICIPACIÓN  31 DE DICIEMBRE DE 2025.. PONDERADO</a:t>
            </a:r>
          </a:p>
        </c:rich>
      </c:tx>
      <c:layout>
        <c:manualLayout>
          <c:xMode val="edge"/>
          <c:yMode val="edge"/>
          <c:x val="0.1582305295950156"/>
          <c:y val="0"/>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PARTICIPA'!$N$4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PARTICIPA'!$N$5:$N$11</c:f>
              <c:numCache>
                <c:formatCode>0.0%</c:formatCode>
                <c:ptCount val="7"/>
                <c:pt idx="0">
                  <c:v>0.47689119792639012</c:v>
                </c:pt>
                <c:pt idx="1">
                  <c:v>0.51641666666666663</c:v>
                </c:pt>
                <c:pt idx="2">
                  <c:v>0.51859130733767023</c:v>
                </c:pt>
                <c:pt idx="3">
                  <c:v>0.48003771902475223</c:v>
                </c:pt>
                <c:pt idx="4">
                  <c:v>0.49487648191372924</c:v>
                </c:pt>
                <c:pt idx="5">
                  <c:v>0.59884896226070028</c:v>
                </c:pt>
                <c:pt idx="6">
                  <c:v>0.49006150793650793</c:v>
                </c:pt>
              </c:numCache>
            </c:numRef>
          </c:val>
          <c:extLst>
            <c:ext xmlns:c16="http://schemas.microsoft.com/office/drawing/2014/chart" uri="{C3380CC4-5D6E-409C-BE32-E72D297353CC}">
              <c16:uniqueId val="{00000000-AE55-4F74-8B0B-FFA018C92E44}"/>
            </c:ext>
          </c:extLst>
        </c:ser>
        <c:ser>
          <c:idx val="1"/>
          <c:order val="1"/>
          <c:tx>
            <c:strRef>
              <c:f>'GRAFICAS INNOVACIÓN Y PARTICIPA'!$O$4</c:f>
              <c:strCache>
                <c:ptCount val="1"/>
                <c:pt idx="0">
                  <c:v>LOGRO CORTE 31 DE DICIEMBRE DE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PARTICIPA'!$O$5:$O$11</c:f>
              <c:numCache>
                <c:formatCode>0.0%</c:formatCode>
                <c:ptCount val="7"/>
                <c:pt idx="0">
                  <c:v>0.50552782129594898</c:v>
                </c:pt>
                <c:pt idx="1">
                  <c:v>0.41844000000000003</c:v>
                </c:pt>
                <c:pt idx="2">
                  <c:v>0.52144215270407368</c:v>
                </c:pt>
                <c:pt idx="3">
                  <c:v>0.53668886120066794</c:v>
                </c:pt>
                <c:pt idx="4">
                  <c:v>0.56904333649826588</c:v>
                </c:pt>
                <c:pt idx="5">
                  <c:v>0.49669634354560488</c:v>
                </c:pt>
                <c:pt idx="6">
                  <c:v>0.49863416666666671</c:v>
                </c:pt>
              </c:numCache>
            </c:numRef>
          </c:val>
          <c:extLst>
            <c:ext xmlns:c16="http://schemas.microsoft.com/office/drawing/2014/chart" uri="{C3380CC4-5D6E-409C-BE32-E72D297353CC}">
              <c16:uniqueId val="{00000001-AE55-4F74-8B0B-FFA018C92E44}"/>
            </c:ext>
          </c:extLst>
        </c:ser>
        <c:dLbls>
          <c:showLegendKey val="0"/>
          <c:showVal val="0"/>
          <c:showCatName val="0"/>
          <c:showSerName val="0"/>
          <c:showPercent val="0"/>
          <c:showBubbleSize val="0"/>
        </c:dLbls>
        <c:gapWidth val="219"/>
        <c:overlap val="-27"/>
        <c:axId val="432685672"/>
        <c:axId val="432691552"/>
      </c:barChart>
      <c:catAx>
        <c:axId val="43268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91552"/>
        <c:crosses val="autoZero"/>
        <c:auto val="1"/>
        <c:lblAlgn val="ctr"/>
        <c:lblOffset val="100"/>
        <c:noMultiLvlLbl val="0"/>
      </c:catAx>
      <c:valAx>
        <c:axId val="4326915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5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a:t>AVANCE   LINEA ESTRATEGICA INNOVACIÓN Y PARTICIPACIÓN VIGENCIA CORTE </a:t>
            </a:r>
            <a:r>
              <a:rPr lang="es-CO"/>
              <a:t> </a:t>
            </a:r>
            <a:r>
              <a:rPr lang="es-CO" sz="1440" b="1" i="0" u="none" strike="noStrike" baseline="0">
                <a:effectLst/>
              </a:rPr>
              <a:t>31 DE DICIEMBRE DE 2025..</a:t>
            </a:r>
            <a:endParaRPr lang="es-CO"/>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PARTICIPA'!$D$108</c:f>
              <c:strCache>
                <c:ptCount val="1"/>
                <c:pt idx="0">
                  <c:v>AVANCE  PARCIAL VIGENCIA  CORTE 31 DE DICIEMBRE DE 2025</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B52B-4260-AA99-EC5F5FDB3DEB}"/>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B52B-4260-AA99-EC5F5FDB3DEB}"/>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B52B-4260-AA99-EC5F5FDB3DEB}"/>
              </c:ext>
            </c:extLst>
          </c:dPt>
          <c:dPt>
            <c:idx val="3"/>
            <c:invertIfNegative val="0"/>
            <c:bubble3D val="0"/>
            <c:spPr>
              <a:solidFill>
                <a:srgbClr val="00B050"/>
              </a:solidFill>
              <a:ln>
                <a:noFill/>
              </a:ln>
              <a:effectLst/>
            </c:spPr>
            <c:extLst>
              <c:ext xmlns:c16="http://schemas.microsoft.com/office/drawing/2014/chart" uri="{C3380CC4-5D6E-409C-BE32-E72D297353CC}">
                <c16:uniqueId val="{00000007-B52B-4260-AA99-EC5F5FDB3DEB}"/>
              </c:ext>
            </c:extLst>
          </c:dPt>
          <c:dPt>
            <c:idx val="4"/>
            <c:invertIfNegative val="0"/>
            <c:bubble3D val="0"/>
            <c:spPr>
              <a:solidFill>
                <a:srgbClr val="00B050"/>
              </a:solidFill>
              <a:ln>
                <a:noFill/>
              </a:ln>
              <a:effectLst/>
            </c:spPr>
            <c:extLst>
              <c:ext xmlns:c16="http://schemas.microsoft.com/office/drawing/2014/chart" uri="{C3380CC4-5D6E-409C-BE32-E72D297353CC}">
                <c16:uniqueId val="{00000009-B52B-4260-AA99-EC5F5FDB3DEB}"/>
              </c:ext>
            </c:extLst>
          </c:dPt>
          <c:dPt>
            <c:idx val="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B-B52B-4260-AA99-EC5F5FDB3DEB}"/>
              </c:ext>
            </c:extLst>
          </c:dPt>
          <c:dPt>
            <c:idx val="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D-B52B-4260-AA99-EC5F5FDB3DEB}"/>
              </c:ext>
            </c:extLst>
          </c:dPt>
          <c:dPt>
            <c:idx val="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F-B52B-4260-AA99-EC5F5FDB3DEB}"/>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PARTICIPA'!$C$109:$C$115</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PARTICIPA'!$D$109:$D$115</c:f>
              <c:numCache>
                <c:formatCode>0.0%</c:formatCode>
                <c:ptCount val="7"/>
                <c:pt idx="0">
                  <c:v>0.88279501521466452</c:v>
                </c:pt>
                <c:pt idx="1">
                  <c:v>0.77777777777777768</c:v>
                </c:pt>
                <c:pt idx="2">
                  <c:v>0.8024011437908497</c:v>
                </c:pt>
                <c:pt idx="3">
                  <c:v>0.97863502988969042</c:v>
                </c:pt>
                <c:pt idx="4">
                  <c:v>1</c:v>
                </c:pt>
                <c:pt idx="5">
                  <c:v>0.75171893939393941</c:v>
                </c:pt>
                <c:pt idx="6">
                  <c:v>0.87160846560846561</c:v>
                </c:pt>
              </c:numCache>
            </c:numRef>
          </c:val>
          <c:extLst>
            <c:ext xmlns:c16="http://schemas.microsoft.com/office/drawing/2014/chart" uri="{C3380CC4-5D6E-409C-BE32-E72D297353CC}">
              <c16:uniqueId val="{00000010-B52B-4260-AA99-EC5F5FDB3DEB}"/>
            </c:ext>
          </c:extLst>
        </c:ser>
        <c:dLbls>
          <c:showLegendKey val="0"/>
          <c:showVal val="0"/>
          <c:showCatName val="0"/>
          <c:showSerName val="0"/>
          <c:showPercent val="0"/>
          <c:showBubbleSize val="0"/>
        </c:dLbls>
        <c:gapWidth val="219"/>
        <c:overlap val="-27"/>
        <c:axId val="432692728"/>
        <c:axId val="432684496"/>
      </c:barChart>
      <c:catAx>
        <c:axId val="432692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84496"/>
        <c:crosses val="autoZero"/>
        <c:auto val="1"/>
        <c:lblAlgn val="ctr"/>
        <c:lblOffset val="100"/>
        <c:noMultiLvlLbl val="0"/>
      </c:catAx>
      <c:valAx>
        <c:axId val="432684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92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Transparencia y </a:t>
            </a:r>
            <a:r>
              <a:rPr lang="en-US" sz="1800" b="1" i="0" u="none" strike="noStrike" kern="1200" spc="0" baseline="0">
                <a:solidFill>
                  <a:srgbClr val="000000">
                    <a:lumMod val="65000"/>
                    <a:lumOff val="35000"/>
                  </a:srgbClr>
                </a:solidFill>
                <a:effectLst/>
                <a:latin typeface="+mn-lt"/>
                <a:ea typeface="+mn-ea"/>
                <a:cs typeface="+mn-cs"/>
              </a:rPr>
              <a:t>Gobierno Abierto. Avance ponderado corte  </a:t>
            </a:r>
            <a:r>
              <a:rPr lang="es-CO" sz="1800" b="1" i="0" u="none" strike="noStrike" kern="1200" spc="0" baseline="0">
                <a:solidFill>
                  <a:srgbClr val="000000">
                    <a:lumMod val="65000"/>
                    <a:lumOff val="35000"/>
                  </a:srgbClr>
                </a:solidFill>
                <a:effectLst/>
                <a:latin typeface="+mn-lt"/>
                <a:ea typeface="+mn-ea"/>
                <a:cs typeface="+mn-cs"/>
              </a:rPr>
              <a:t>31 de diciembre de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PARTICIPA'!$D$45</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PARTICIPA'!$D$46:$D$49</c:f>
              <c:numCache>
                <c:formatCode>0.0%</c:formatCode>
                <c:ptCount val="4"/>
                <c:pt idx="0">
                  <c:v>0.41844000000000003</c:v>
                </c:pt>
                <c:pt idx="1">
                  <c:v>0.57499999999999996</c:v>
                </c:pt>
                <c:pt idx="2">
                  <c:v>0.12249999999999998</c:v>
                </c:pt>
                <c:pt idx="3">
                  <c:v>0.50563333333333338</c:v>
                </c:pt>
              </c:numCache>
            </c:numRef>
          </c:val>
          <c:extLst>
            <c:ext xmlns:c16="http://schemas.microsoft.com/office/drawing/2014/chart" uri="{C3380CC4-5D6E-409C-BE32-E72D297353CC}">
              <c16:uniqueId val="{00000000-B5C8-4817-A533-EBBC5B3499EF}"/>
            </c:ext>
          </c:extLst>
        </c:ser>
        <c:dLbls>
          <c:showLegendKey val="0"/>
          <c:showVal val="0"/>
          <c:showCatName val="0"/>
          <c:showSerName val="0"/>
          <c:showPercent val="0"/>
          <c:showBubbleSize val="0"/>
        </c:dLbls>
        <c:gapWidth val="219"/>
        <c:overlap val="-27"/>
        <c:axId val="432688808"/>
        <c:axId val="432682144"/>
      </c:barChart>
      <c:catAx>
        <c:axId val="432688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2144"/>
        <c:crosses val="autoZero"/>
        <c:auto val="1"/>
        <c:lblAlgn val="ctr"/>
        <c:lblOffset val="100"/>
        <c:noMultiLvlLbl val="0"/>
      </c:catAx>
      <c:valAx>
        <c:axId val="432682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8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a:t>
            </a:r>
            <a:r>
              <a:rPr lang="en-US" sz="1800" b="1" i="0" u="none" strike="noStrike" kern="1200" spc="0" baseline="0">
                <a:solidFill>
                  <a:srgbClr val="000000">
                    <a:lumMod val="65000"/>
                    <a:lumOff val="35000"/>
                  </a:srgbClr>
                </a:solidFill>
                <a:effectLst/>
                <a:latin typeface="+mn-lt"/>
                <a:ea typeface="+mn-ea"/>
                <a:cs typeface="+mn-cs"/>
              </a:rPr>
              <a:t>Fortalecimiento Institucional e Innovación Administrativa. Avance ponderado corte  </a:t>
            </a:r>
            <a:r>
              <a:rPr lang="es-CO" sz="1800" b="1" i="0" u="none" strike="noStrike" kern="1200" spc="0" baseline="0">
                <a:solidFill>
                  <a:srgbClr val="000000">
                    <a:lumMod val="65000"/>
                    <a:lumOff val="35000"/>
                  </a:srgbClr>
                </a:solidFill>
                <a:effectLst/>
                <a:latin typeface="+mn-lt"/>
                <a:ea typeface="+mn-ea"/>
                <a:cs typeface="+mn-cs"/>
              </a:rPr>
              <a:t>31 de diciembre de 2025</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PARTICIPA'!$D$55</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PARTICIPA'!$D$56:$D$64</c:f>
              <c:numCache>
                <c:formatCode>0.0%</c:formatCode>
                <c:ptCount val="9"/>
                <c:pt idx="0">
                  <c:v>0.52144215270407368</c:v>
                </c:pt>
                <c:pt idx="1">
                  <c:v>0.70063500000000001</c:v>
                </c:pt>
                <c:pt idx="2">
                  <c:v>0.55999999999999994</c:v>
                </c:pt>
                <c:pt idx="3">
                  <c:v>0.53483874000940301</c:v>
                </c:pt>
                <c:pt idx="4">
                  <c:v>0.62375999999999998</c:v>
                </c:pt>
                <c:pt idx="5">
                  <c:v>0.6</c:v>
                </c:pt>
                <c:pt idx="6">
                  <c:v>0.45749999999999996</c:v>
                </c:pt>
                <c:pt idx="7">
                  <c:v>0.05</c:v>
                </c:pt>
                <c:pt idx="8">
                  <c:v>0.25917436468128752</c:v>
                </c:pt>
              </c:numCache>
            </c:numRef>
          </c:val>
          <c:extLst>
            <c:ext xmlns:c16="http://schemas.microsoft.com/office/drawing/2014/chart" uri="{C3380CC4-5D6E-409C-BE32-E72D297353CC}">
              <c16:uniqueId val="{00000000-B3D5-4498-A27B-E59E7ABE205E}"/>
            </c:ext>
          </c:extLst>
        </c:ser>
        <c:dLbls>
          <c:showLegendKey val="0"/>
          <c:showVal val="0"/>
          <c:showCatName val="0"/>
          <c:showSerName val="0"/>
          <c:showPercent val="0"/>
          <c:showBubbleSize val="0"/>
        </c:dLbls>
        <c:gapWidth val="219"/>
        <c:overlap val="-27"/>
        <c:axId val="432685280"/>
        <c:axId val="432689200"/>
      </c:barChart>
      <c:catAx>
        <c:axId val="43268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32689200"/>
        <c:crosses val="autoZero"/>
        <c:auto val="1"/>
        <c:lblAlgn val="ctr"/>
        <c:lblOffset val="100"/>
        <c:noMultiLvlLbl val="0"/>
      </c:catAx>
      <c:valAx>
        <c:axId val="432689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Cultura Ciudadana. Avance ponderado </a:t>
            </a:r>
            <a:r>
              <a:rPr lang="en-US" sz="1800" b="1" i="0" u="none" strike="noStrike" kern="1200" spc="0" baseline="0">
                <a:solidFill>
                  <a:srgbClr val="000000">
                    <a:lumMod val="65000"/>
                    <a:lumOff val="35000"/>
                  </a:srgbClr>
                </a:solidFill>
                <a:effectLst/>
                <a:latin typeface="+mn-lt"/>
                <a:ea typeface="+mn-ea"/>
                <a:cs typeface="+mn-cs"/>
              </a:rPr>
              <a:t>corte  </a:t>
            </a:r>
            <a:r>
              <a:rPr lang="es-CO" sz="1800" b="1" i="0" u="none" strike="noStrike" kern="1200" spc="0" baseline="0">
                <a:solidFill>
                  <a:srgbClr val="000000">
                    <a:lumMod val="65000"/>
                    <a:lumOff val="35000"/>
                  </a:srgbClr>
                </a:solidFill>
                <a:effectLst/>
                <a:latin typeface="+mn-lt"/>
                <a:ea typeface="+mn-ea"/>
                <a:cs typeface="+mn-cs"/>
              </a:rPr>
              <a:t>31 de diciembre de 2025</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800" b="1" i="0" u="none" strike="noStrike" kern="1200" spc="0" baseline="0">
              <a:solidFill>
                <a:srgbClr val="000000">
                  <a:lumMod val="65000"/>
                  <a:lumOff val="35000"/>
                </a:srgb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PARTICIPA'!$D$73</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PARTICIPA'!$D$74:$D$79</c:f>
              <c:numCache>
                <c:formatCode>0.0%</c:formatCode>
                <c:ptCount val="6"/>
                <c:pt idx="0">
                  <c:v>0.56904333649826588</c:v>
                </c:pt>
                <c:pt idx="1">
                  <c:v>0.72784349408553239</c:v>
                </c:pt>
                <c:pt idx="2">
                  <c:v>0.61749999999999994</c:v>
                </c:pt>
                <c:pt idx="3">
                  <c:v>0.5</c:v>
                </c:pt>
                <c:pt idx="4" formatCode="0.00%">
                  <c:v>0.45289855072463769</c:v>
                </c:pt>
                <c:pt idx="5">
                  <c:v>0.5</c:v>
                </c:pt>
              </c:numCache>
            </c:numRef>
          </c:val>
          <c:extLst>
            <c:ext xmlns:c16="http://schemas.microsoft.com/office/drawing/2014/chart" uri="{C3380CC4-5D6E-409C-BE32-E72D297353CC}">
              <c16:uniqueId val="{00000000-DF12-40A1-A175-FFA28A8AAAC7}"/>
            </c:ext>
          </c:extLst>
        </c:ser>
        <c:dLbls>
          <c:showLegendKey val="0"/>
          <c:showVal val="0"/>
          <c:showCatName val="0"/>
          <c:showSerName val="0"/>
          <c:showPercent val="0"/>
          <c:showBubbleSize val="0"/>
        </c:dLbls>
        <c:gapWidth val="219"/>
        <c:overlap val="-27"/>
        <c:axId val="432686456"/>
        <c:axId val="432691160"/>
      </c:barChart>
      <c:catAx>
        <c:axId val="43268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2691160"/>
        <c:crosses val="autoZero"/>
        <c:auto val="1"/>
        <c:lblAlgn val="ctr"/>
        <c:lblOffset val="100"/>
        <c:noMultiLvlLbl val="0"/>
      </c:catAx>
      <c:valAx>
        <c:axId val="432691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6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400" b="1" i="0" u="none" strike="noStrike" kern="1200" spc="0" baseline="0">
                <a:solidFill>
                  <a:srgbClr val="000000">
                    <a:lumMod val="65000"/>
                    <a:lumOff val="35000"/>
                  </a:srgbClr>
                </a:solidFill>
                <a:effectLst/>
                <a:latin typeface="+mn-lt"/>
                <a:ea typeface="+mn-ea"/>
                <a:cs typeface="+mn-cs"/>
              </a:rPr>
              <a:t>Componente Impulsor de avance: Participación Ciudadana y Acción Comunal. </a:t>
            </a:r>
            <a:r>
              <a:rPr lang="en-US" sz="1400" b="1" i="0" u="none" strike="noStrike" baseline="0">
                <a:effectLst/>
              </a:rPr>
              <a:t>Avance ponderado corte </a:t>
            </a:r>
            <a:r>
              <a:rPr lang="en-US" sz="1400" b="1" i="0" baseline="0">
                <a:effectLst/>
              </a:rPr>
              <a:t> </a:t>
            </a:r>
            <a:r>
              <a:rPr lang="es-CO" sz="1400" b="1" i="0" u="none" strike="noStrike" baseline="0">
                <a:effectLst/>
              </a:rPr>
              <a:t>31 de diciembre de 2025</a:t>
            </a:r>
            <a:endParaRPr lang="es-CO" sz="1400">
              <a:effectLst/>
            </a:endParaRP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r>
              <a:rPr lang="en-US" sz="1400" b="1" i="0" u="none" strike="noStrike" baseline="0">
                <a:effectLst/>
              </a:rPr>
              <a:t>.</a:t>
            </a:r>
            <a:r>
              <a:rPr lang="en-US"/>
              <a:t> </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PARTICIPA'!$D$85</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PARTICIPA'!$D$86:$D$91</c:f>
              <c:numCache>
                <c:formatCode>0.0%</c:formatCode>
                <c:ptCount val="6"/>
                <c:pt idx="0">
                  <c:v>0.49669634354560488</c:v>
                </c:pt>
                <c:pt idx="1">
                  <c:v>0.78866873474847721</c:v>
                </c:pt>
                <c:pt idx="2">
                  <c:v>0.254</c:v>
                </c:pt>
                <c:pt idx="3">
                  <c:v>0.468026</c:v>
                </c:pt>
                <c:pt idx="4">
                  <c:v>0.65817499999999995</c:v>
                </c:pt>
                <c:pt idx="5">
                  <c:v>0.71386666666666665</c:v>
                </c:pt>
              </c:numCache>
            </c:numRef>
          </c:val>
          <c:extLst>
            <c:ext xmlns:c16="http://schemas.microsoft.com/office/drawing/2014/chart" uri="{C3380CC4-5D6E-409C-BE32-E72D297353CC}">
              <c16:uniqueId val="{00000000-B54F-48B1-B6BF-1C18D244D274}"/>
            </c:ext>
          </c:extLst>
        </c:ser>
        <c:dLbls>
          <c:showLegendKey val="0"/>
          <c:showVal val="0"/>
          <c:showCatName val="0"/>
          <c:showSerName val="0"/>
          <c:showPercent val="0"/>
          <c:showBubbleSize val="0"/>
        </c:dLbls>
        <c:gapWidth val="219"/>
        <c:overlap val="-27"/>
        <c:axId val="432686848"/>
        <c:axId val="432688024"/>
      </c:barChart>
      <c:catAx>
        <c:axId val="43268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2688024"/>
        <c:crosses val="autoZero"/>
        <c:auto val="1"/>
        <c:lblAlgn val="ctr"/>
        <c:lblOffset val="100"/>
        <c:noMultiLvlLbl val="0"/>
      </c:catAx>
      <c:valAx>
        <c:axId val="432688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6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r>
              <a:rPr lang="en-US" sz="1300" b="1"/>
              <a:t>AVANCE CUATRIENIO IMPULSOR DE AVANCE: TRANSPARENCIA Y GOBIERNO ABIERTO.  PROGRAMAS. CORTE </a:t>
            </a:r>
            <a:r>
              <a:rPr lang="es-CO" sz="1300" b="1" i="0" baseline="0">
                <a:effectLst/>
              </a:rPr>
              <a:t> </a:t>
            </a:r>
            <a:r>
              <a:rPr lang="es-CO" sz="1300" b="1" i="0" u="none" strike="noStrike" baseline="0">
                <a:effectLst/>
              </a:rPr>
              <a:t>31 DE DICIEMBRE DE 2025.</a:t>
            </a:r>
            <a:endParaRPr lang="en-US" sz="13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endParaRPr lang="en-US"/>
        </a:p>
      </c:txPr>
    </c:title>
    <c:autoTitleDeleted val="0"/>
    <c:plotArea>
      <c:layout/>
      <c:barChart>
        <c:barDir val="col"/>
        <c:grouping val="clustered"/>
        <c:varyColors val="0"/>
        <c:ser>
          <c:idx val="0"/>
          <c:order val="0"/>
          <c:tx>
            <c:strRef>
              <c:f>'GRAFICAS INNOVACIÓN Y PARTICIPA'!$E$45</c:f>
              <c:strCache>
                <c:ptCount val="1"/>
                <c:pt idx="0">
                  <c:v>AVANCE CUATRIENIO IMPULSOR DE AVANCE: TRANSPARENCIA Y GOBIERNO ABIERTO. CORTE 31 DE DICIEMBRE DE 2025</c:v>
                </c:pt>
              </c:strCache>
            </c:strRef>
          </c:tx>
          <c:spPr>
            <a:solidFill>
              <a:srgbClr val="FF7C80"/>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941E-4C4B-8CFC-6A6A8FA0F59A}"/>
              </c:ext>
            </c:extLst>
          </c:dPt>
          <c:dPt>
            <c:idx val="1"/>
            <c:invertIfNegative val="0"/>
            <c:bubble3D val="0"/>
            <c:spPr>
              <a:solidFill>
                <a:srgbClr val="00B050"/>
              </a:solidFill>
              <a:ln>
                <a:noFill/>
              </a:ln>
              <a:effectLst/>
            </c:spPr>
            <c:extLst>
              <c:ext xmlns:c16="http://schemas.microsoft.com/office/drawing/2014/chart" uri="{C3380CC4-5D6E-409C-BE32-E72D297353CC}">
                <c16:uniqueId val="{0000000C-019E-4500-AA48-E0D030DC21AC}"/>
              </c:ext>
            </c:extLst>
          </c:dPt>
          <c:dPt>
            <c:idx val="2"/>
            <c:invertIfNegative val="0"/>
            <c:bubble3D val="0"/>
            <c:spPr>
              <a:solidFill>
                <a:srgbClr val="FF0000"/>
              </a:solidFill>
              <a:ln>
                <a:noFill/>
              </a:ln>
              <a:effectLst/>
            </c:spPr>
            <c:extLst>
              <c:ext xmlns:c16="http://schemas.microsoft.com/office/drawing/2014/chart" uri="{C3380CC4-5D6E-409C-BE32-E72D297353CC}">
                <c16:uniqueId val="{00000002-01B3-4897-B5E8-20D7C834EED2}"/>
              </c:ext>
            </c:extLst>
          </c:dPt>
          <c:dPt>
            <c:idx val="3"/>
            <c:invertIfNegative val="0"/>
            <c:bubble3D val="0"/>
            <c:spPr>
              <a:solidFill>
                <a:srgbClr val="00B050"/>
              </a:solidFill>
              <a:ln>
                <a:noFill/>
              </a:ln>
              <a:effectLst/>
            </c:spPr>
            <c:extLst>
              <c:ext xmlns:c16="http://schemas.microsoft.com/office/drawing/2014/chart" uri="{C3380CC4-5D6E-409C-BE32-E72D297353CC}">
                <c16:uniqueId val="{00000009-B819-4398-8C8B-8C32127D26B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PARTICIPA'!$E$46:$E$49</c:f>
              <c:numCache>
                <c:formatCode>0.0%</c:formatCode>
                <c:ptCount val="4"/>
                <c:pt idx="0">
                  <c:v>0.40580555555555553</c:v>
                </c:pt>
                <c:pt idx="1">
                  <c:v>0.625</c:v>
                </c:pt>
                <c:pt idx="2">
                  <c:v>0.11549999999999999</c:v>
                </c:pt>
                <c:pt idx="3">
                  <c:v>0.47691666666666666</c:v>
                </c:pt>
              </c:numCache>
            </c:numRef>
          </c:val>
          <c:extLst>
            <c:ext xmlns:c16="http://schemas.microsoft.com/office/drawing/2014/chart" uri="{C3380CC4-5D6E-409C-BE32-E72D297353CC}">
              <c16:uniqueId val="{00000000-941E-4C4B-8CFC-6A6A8FA0F59A}"/>
            </c:ext>
          </c:extLst>
        </c:ser>
        <c:dLbls>
          <c:showLegendKey val="0"/>
          <c:showVal val="0"/>
          <c:showCatName val="0"/>
          <c:showSerName val="0"/>
          <c:showPercent val="0"/>
          <c:showBubbleSize val="0"/>
        </c:dLbls>
        <c:gapWidth val="219"/>
        <c:overlap val="-27"/>
        <c:axId val="432689984"/>
        <c:axId val="432693120"/>
      </c:barChart>
      <c:catAx>
        <c:axId val="4326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3120"/>
        <c:crosses val="autoZero"/>
        <c:auto val="1"/>
        <c:lblAlgn val="ctr"/>
        <c:lblOffset val="100"/>
        <c:noMultiLvlLbl val="0"/>
      </c:catAx>
      <c:valAx>
        <c:axId val="432693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9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r>
              <a:rPr lang="en-US"/>
              <a:t>AVANCE CUATRIENIO IMPULSOR DE AVANCE: FORTALECIMIENTO </a:t>
            </a:r>
            <a:r>
              <a:rPr lang="en-US" sz="1200" b="1" i="0" u="none" strike="noStrike" kern="1200" spc="0" baseline="0">
                <a:solidFill>
                  <a:srgbClr val="000000">
                    <a:lumMod val="65000"/>
                    <a:lumOff val="35000"/>
                  </a:srgbClr>
                </a:solidFill>
                <a:latin typeface="+mn-lt"/>
                <a:ea typeface="+mn-ea"/>
                <a:cs typeface="+mn-cs"/>
              </a:rPr>
              <a:t>INSTITUCIONAL E INNOVACIÓN ADMINISTRATIVA. CORTE </a:t>
            </a:r>
            <a:r>
              <a:rPr lang="es-CO" sz="1200" b="1" i="0" u="none" strike="noStrike" kern="1200" spc="0" baseline="0">
                <a:solidFill>
                  <a:srgbClr val="000000">
                    <a:lumMod val="65000"/>
                    <a:lumOff val="35000"/>
                  </a:srgbClr>
                </a:solidFill>
                <a:latin typeface="+mn-lt"/>
                <a:ea typeface="+mn-ea"/>
                <a:cs typeface="+mn-cs"/>
              </a:rPr>
              <a:t> </a:t>
            </a:r>
            <a:r>
              <a:rPr lang="es-CO" sz="1200" b="1" i="0" u="none" strike="noStrike" baseline="0">
                <a:effectLst/>
              </a:rPr>
              <a:t>31 DE DICIEMBRE DE 2025.</a:t>
            </a:r>
            <a:endParaRPr lang="en-US"/>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endParaRPr lang="en-US"/>
        </a:p>
      </c:txPr>
    </c:title>
    <c:autoTitleDeleted val="0"/>
    <c:plotArea>
      <c:layout/>
      <c:barChart>
        <c:barDir val="col"/>
        <c:grouping val="clustered"/>
        <c:varyColors val="0"/>
        <c:ser>
          <c:idx val="0"/>
          <c:order val="0"/>
          <c:tx>
            <c:strRef>
              <c:f>'GRAFICAS INNOVACIÓN Y PARTICIPA'!$E$55</c:f>
              <c:strCache>
                <c:ptCount val="1"/>
                <c:pt idx="0">
                  <c:v>AVANCE CUATRIENIO IMPULSOR DE AVANCE: FORTALECIMIENTO INSTITUCIONAL. CORTE 31 DE DICIEMBRE DE 2025</c:v>
                </c:pt>
              </c:strCache>
            </c:strRef>
          </c:tx>
          <c:spPr>
            <a:solidFill>
              <a:srgbClr val="FF7C80"/>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2046-4CCE-9C45-613420468A21}"/>
              </c:ext>
            </c:extLst>
          </c:dPt>
          <c:dPt>
            <c:idx val="1"/>
            <c:invertIfNegative val="0"/>
            <c:bubble3D val="0"/>
            <c:spPr>
              <a:solidFill>
                <a:srgbClr val="00B050"/>
              </a:solidFill>
              <a:ln>
                <a:noFill/>
              </a:ln>
              <a:effectLst/>
            </c:spPr>
            <c:extLst>
              <c:ext xmlns:c16="http://schemas.microsoft.com/office/drawing/2014/chart" uri="{C3380CC4-5D6E-409C-BE32-E72D297353CC}">
                <c16:uniqueId val="{00000002-F15D-4CF9-A746-E57DAE027BE7}"/>
              </c:ext>
            </c:extLst>
          </c:dPt>
          <c:dPt>
            <c:idx val="2"/>
            <c:invertIfNegative val="0"/>
            <c:bubble3D val="0"/>
            <c:spPr>
              <a:solidFill>
                <a:srgbClr val="00B050"/>
              </a:solidFill>
              <a:ln>
                <a:noFill/>
              </a:ln>
              <a:effectLst/>
            </c:spPr>
            <c:extLst>
              <c:ext xmlns:c16="http://schemas.microsoft.com/office/drawing/2014/chart" uri="{C3380CC4-5D6E-409C-BE32-E72D297353CC}">
                <c16:uniqueId val="{00000003-F15D-4CF9-A746-E57DAE027BE7}"/>
              </c:ext>
            </c:extLst>
          </c:dPt>
          <c:dPt>
            <c:idx val="3"/>
            <c:invertIfNegative val="0"/>
            <c:bubble3D val="0"/>
            <c:spPr>
              <a:solidFill>
                <a:srgbClr val="00B050"/>
              </a:solidFill>
              <a:ln>
                <a:noFill/>
              </a:ln>
              <a:effectLst/>
            </c:spPr>
            <c:extLst>
              <c:ext xmlns:c16="http://schemas.microsoft.com/office/drawing/2014/chart" uri="{C3380CC4-5D6E-409C-BE32-E72D297353CC}">
                <c16:uniqueId val="{00000004-F15D-4CF9-A746-E57DAE027BE7}"/>
              </c:ext>
            </c:extLst>
          </c:dPt>
          <c:dPt>
            <c:idx val="4"/>
            <c:invertIfNegative val="0"/>
            <c:bubble3D val="0"/>
            <c:spPr>
              <a:solidFill>
                <a:srgbClr val="00B050"/>
              </a:solidFill>
              <a:ln>
                <a:noFill/>
              </a:ln>
              <a:effectLst/>
            </c:spPr>
            <c:extLst>
              <c:ext xmlns:c16="http://schemas.microsoft.com/office/drawing/2014/chart" uri="{C3380CC4-5D6E-409C-BE32-E72D297353CC}">
                <c16:uniqueId val="{00000005-F15D-4CF9-A746-E57DAE027BE7}"/>
              </c:ext>
            </c:extLst>
          </c:dPt>
          <c:dPt>
            <c:idx val="5"/>
            <c:invertIfNegative val="0"/>
            <c:bubble3D val="0"/>
            <c:spPr>
              <a:solidFill>
                <a:srgbClr val="00B050"/>
              </a:solidFill>
              <a:ln>
                <a:noFill/>
              </a:ln>
              <a:effectLst/>
            </c:spPr>
            <c:extLst>
              <c:ext xmlns:c16="http://schemas.microsoft.com/office/drawing/2014/chart" uri="{C3380CC4-5D6E-409C-BE32-E72D297353CC}">
                <c16:uniqueId val="{00000007-F15D-4CF9-A746-E57DAE027BE7}"/>
              </c:ext>
            </c:extLst>
          </c:dPt>
          <c:dPt>
            <c:idx val="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F15D-4CF9-A746-E57DAE027BE7}"/>
              </c:ext>
            </c:extLst>
          </c:dPt>
          <c:dPt>
            <c:idx val="7"/>
            <c:invertIfNegative val="0"/>
            <c:bubble3D val="0"/>
            <c:spPr>
              <a:solidFill>
                <a:srgbClr val="FF0000"/>
              </a:solidFill>
              <a:ln>
                <a:noFill/>
              </a:ln>
              <a:effectLst/>
            </c:spPr>
            <c:extLst>
              <c:ext xmlns:c16="http://schemas.microsoft.com/office/drawing/2014/chart" uri="{C3380CC4-5D6E-409C-BE32-E72D297353CC}">
                <c16:uniqueId val="{00000010-8F76-45F0-B7D9-012B2C588B2A}"/>
              </c:ext>
            </c:extLst>
          </c:dPt>
          <c:dPt>
            <c:idx val="8"/>
            <c:invertIfNegative val="0"/>
            <c:bubble3D val="0"/>
            <c:spPr>
              <a:solidFill>
                <a:srgbClr val="FF7C80"/>
              </a:solidFill>
              <a:ln>
                <a:noFill/>
              </a:ln>
              <a:effectLst/>
            </c:spPr>
            <c:extLst>
              <c:ext xmlns:c16="http://schemas.microsoft.com/office/drawing/2014/chart" uri="{C3380CC4-5D6E-409C-BE32-E72D297353CC}">
                <c16:uniqueId val="{00000010-A010-4337-A633-40A83106568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PARTICIPA'!$E$56:$E$64</c:f>
              <c:numCache>
                <c:formatCode>0.0%</c:formatCode>
                <c:ptCount val="9"/>
                <c:pt idx="0">
                  <c:v>0.46666914224150913</c:v>
                </c:pt>
                <c:pt idx="1">
                  <c:v>0.62817499999999993</c:v>
                </c:pt>
                <c:pt idx="2">
                  <c:v>0.53749999999999998</c:v>
                </c:pt>
                <c:pt idx="3">
                  <c:v>0.555892493339602</c:v>
                </c:pt>
                <c:pt idx="4">
                  <c:v>0.62375999999999998</c:v>
                </c:pt>
                <c:pt idx="5">
                  <c:v>0.66666666666666663</c:v>
                </c:pt>
                <c:pt idx="6">
                  <c:v>0.43</c:v>
                </c:pt>
                <c:pt idx="7">
                  <c:v>0.05</c:v>
                </c:pt>
                <c:pt idx="8">
                  <c:v>0.24135897792580469</c:v>
                </c:pt>
              </c:numCache>
            </c:numRef>
          </c:val>
          <c:extLst>
            <c:ext xmlns:c16="http://schemas.microsoft.com/office/drawing/2014/chart" uri="{C3380CC4-5D6E-409C-BE32-E72D297353CC}">
              <c16:uniqueId val="{00000000-2046-4CCE-9C45-613420468A21}"/>
            </c:ext>
          </c:extLst>
        </c:ser>
        <c:dLbls>
          <c:showLegendKey val="0"/>
          <c:showVal val="0"/>
          <c:showCatName val="0"/>
          <c:showSerName val="0"/>
          <c:showPercent val="0"/>
          <c:showBubbleSize val="0"/>
        </c:dLbls>
        <c:gapWidth val="219"/>
        <c:overlap val="-27"/>
        <c:axId val="432694688"/>
        <c:axId val="432697432"/>
      </c:barChart>
      <c:catAx>
        <c:axId val="43269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32697432"/>
        <c:crosses val="autoZero"/>
        <c:auto val="1"/>
        <c:lblAlgn val="ctr"/>
        <c:lblOffset val="100"/>
        <c:noMultiLvlLbl val="0"/>
      </c:catAx>
      <c:valAx>
        <c:axId val="432697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4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r>
              <a:rPr lang="en-US"/>
              <a:t>AVANCE CUATRIENIO IMPULSOR DE AVANCE: </a:t>
            </a:r>
            <a:r>
              <a:rPr lang="en-US" sz="1200" b="1" i="0" u="none" strike="noStrike" kern="1200" spc="0" baseline="0">
                <a:solidFill>
                  <a:srgbClr val="000000">
                    <a:lumMod val="65000"/>
                    <a:lumOff val="35000"/>
                  </a:srgbClr>
                </a:solidFill>
                <a:latin typeface="+mn-lt"/>
                <a:ea typeface="+mn-ea"/>
                <a:cs typeface="+mn-cs"/>
              </a:rPr>
              <a:t>PARTICIPACIÓN CIUDADANA Y ACCIÓN COMUNAL.  PROGRAMAS. CORTE </a:t>
            </a:r>
            <a:r>
              <a:rPr lang="es-CO" sz="1200" b="1" i="0" u="none" strike="noStrike" kern="1200" spc="0" baseline="0">
                <a:solidFill>
                  <a:srgbClr val="000000">
                    <a:lumMod val="65000"/>
                    <a:lumOff val="35000"/>
                  </a:srgbClr>
                </a:solidFill>
                <a:latin typeface="+mn-lt"/>
                <a:ea typeface="+mn-ea"/>
                <a:cs typeface="+mn-cs"/>
              </a:rPr>
              <a:t> </a:t>
            </a:r>
            <a:r>
              <a:rPr lang="es-CO" sz="1200" b="1" i="0" u="none" strike="noStrike" baseline="0">
                <a:effectLst/>
              </a:rPr>
              <a:t>31 DE DICIEMBRE DE 2025.</a:t>
            </a:r>
            <a:endParaRPr lang="en-US" sz="12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endParaRPr lang="en-US"/>
        </a:p>
      </c:txPr>
    </c:title>
    <c:autoTitleDeleted val="0"/>
    <c:plotArea>
      <c:layout/>
      <c:barChart>
        <c:barDir val="col"/>
        <c:grouping val="clustered"/>
        <c:varyColors val="0"/>
        <c:ser>
          <c:idx val="0"/>
          <c:order val="0"/>
          <c:tx>
            <c:strRef>
              <c:f>'GRAFICAS INNOVACIÓN Y PARTICIPA'!$E$85</c:f>
              <c:strCache>
                <c:ptCount val="1"/>
                <c:pt idx="0">
                  <c:v>AVANCE CUATRIENIO IMPULSOR DE AVANCE: PARTICIPACIÓN CIUDADANA Y ACCIÓN COMUNAL. CORTE 31 DE DICIEMBRE DE 2025</c:v>
                </c:pt>
              </c:strCache>
            </c:strRef>
          </c:tx>
          <c:spPr>
            <a:solidFill>
              <a:srgbClr val="FF7C8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EE4D-4EA7-93E7-5000B990A582}"/>
              </c:ext>
            </c:extLst>
          </c:dPt>
          <c:dPt>
            <c:idx val="1"/>
            <c:invertIfNegative val="0"/>
            <c:bubble3D val="0"/>
            <c:spPr>
              <a:solidFill>
                <a:srgbClr val="00B050"/>
              </a:solidFill>
              <a:ln>
                <a:noFill/>
              </a:ln>
              <a:effectLst/>
            </c:spPr>
            <c:extLst>
              <c:ext xmlns:c16="http://schemas.microsoft.com/office/drawing/2014/chart" uri="{C3380CC4-5D6E-409C-BE32-E72D297353CC}">
                <c16:uniqueId val="{00000006-6902-4F01-8D9C-E069CCE3CBF9}"/>
              </c:ext>
            </c:extLst>
          </c:dPt>
          <c:dPt>
            <c:idx val="2"/>
            <c:invertIfNegative val="0"/>
            <c:bubble3D val="0"/>
            <c:spPr>
              <a:solidFill>
                <a:srgbClr val="FFFF00"/>
              </a:solidFill>
              <a:ln>
                <a:noFill/>
              </a:ln>
              <a:effectLst/>
            </c:spPr>
            <c:extLst>
              <c:ext xmlns:c16="http://schemas.microsoft.com/office/drawing/2014/chart" uri="{C3380CC4-5D6E-409C-BE32-E72D297353CC}">
                <c16:uniqueId val="{00000002-3912-4580-B880-FA6D04A34252}"/>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A-D651-47EB-8F86-B57709D9A702}"/>
              </c:ext>
            </c:extLst>
          </c:dPt>
          <c:dPt>
            <c:idx val="4"/>
            <c:invertIfNegative val="0"/>
            <c:bubble3D val="0"/>
            <c:spPr>
              <a:solidFill>
                <a:srgbClr val="00B050"/>
              </a:solidFill>
              <a:ln>
                <a:noFill/>
              </a:ln>
              <a:effectLst/>
            </c:spPr>
            <c:extLst>
              <c:ext xmlns:c16="http://schemas.microsoft.com/office/drawing/2014/chart" uri="{C3380CC4-5D6E-409C-BE32-E72D297353CC}">
                <c16:uniqueId val="{00000004-3912-4580-B880-FA6D04A34252}"/>
              </c:ext>
            </c:extLst>
          </c:dPt>
          <c:dPt>
            <c:idx val="5"/>
            <c:invertIfNegative val="0"/>
            <c:bubble3D val="0"/>
            <c:spPr>
              <a:solidFill>
                <a:srgbClr val="00B050"/>
              </a:solidFill>
              <a:ln>
                <a:noFill/>
              </a:ln>
              <a:effectLst/>
            </c:spPr>
            <c:extLst>
              <c:ext xmlns:c16="http://schemas.microsoft.com/office/drawing/2014/chart" uri="{C3380CC4-5D6E-409C-BE32-E72D297353CC}">
                <c16:uniqueId val="{00000009-6902-4F01-8D9C-E069CCE3CBF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PARTICIPA'!$E$86:$E$91</c:f>
              <c:numCache>
                <c:formatCode>0.0%</c:formatCode>
                <c:ptCount val="6"/>
                <c:pt idx="0">
                  <c:v>0.4683245805089773</c:v>
                </c:pt>
                <c:pt idx="1">
                  <c:v>0.77629859416497471</c:v>
                </c:pt>
                <c:pt idx="2">
                  <c:v>0.2558333333333333</c:v>
                </c:pt>
                <c:pt idx="3">
                  <c:v>0.43321000000000004</c:v>
                </c:pt>
                <c:pt idx="4">
                  <c:v>0.70804999999999996</c:v>
                </c:pt>
                <c:pt idx="5">
                  <c:v>0.63655555555555554</c:v>
                </c:pt>
              </c:numCache>
            </c:numRef>
          </c:val>
          <c:extLst>
            <c:ext xmlns:c16="http://schemas.microsoft.com/office/drawing/2014/chart" uri="{C3380CC4-5D6E-409C-BE32-E72D297353CC}">
              <c16:uniqueId val="{00000000-EE4D-4EA7-93E7-5000B990A582}"/>
            </c:ext>
          </c:extLst>
        </c:ser>
        <c:dLbls>
          <c:showLegendKey val="0"/>
          <c:showVal val="0"/>
          <c:showCatName val="0"/>
          <c:showSerName val="0"/>
          <c:showPercent val="0"/>
          <c:showBubbleSize val="0"/>
        </c:dLbls>
        <c:gapWidth val="219"/>
        <c:overlap val="-27"/>
        <c:axId val="432697040"/>
        <c:axId val="432696256"/>
      </c:barChart>
      <c:catAx>
        <c:axId val="43269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6256"/>
        <c:crosses val="autoZero"/>
        <c:auto val="1"/>
        <c:lblAlgn val="ctr"/>
        <c:lblOffset val="100"/>
        <c:noMultiLvlLbl val="0"/>
      </c:catAx>
      <c:valAx>
        <c:axId val="432696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7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CULTURA CIUDADANA. </a:t>
            </a:r>
            <a:r>
              <a:rPr lang="en-US" sz="1400"/>
              <a:t>PROGRAMAS. CORTE </a:t>
            </a:r>
            <a:r>
              <a:rPr lang="es-CO" sz="1400" b="1" i="0" baseline="0">
                <a:effectLst/>
              </a:rPr>
              <a:t> </a:t>
            </a:r>
            <a:r>
              <a:rPr lang="es-CO" sz="1400" b="1" i="0" u="none" strike="noStrike" baseline="0">
                <a:effectLst/>
              </a:rPr>
              <a:t>31 DE DICIEMBRE DE 2025..</a:t>
            </a:r>
            <a:endParaRPr lang="es-CO" sz="1400">
              <a:effectLst/>
            </a:endParaRPr>
          </a:p>
        </c:rich>
      </c:tx>
      <c:layout>
        <c:manualLayout>
          <c:xMode val="edge"/>
          <c:yMode val="edge"/>
          <c:x val="0.11979188907682224"/>
          <c:y val="1.981069777679947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PARTICIPA'!$E$73</c:f>
              <c:strCache>
                <c:ptCount val="1"/>
                <c:pt idx="0">
                  <c:v>AVANCE CUATRIENIO IMPULSOR DE AVANCE: CULTURA CIUDADANA.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01B0-4197-9726-F8C8C5665729}"/>
              </c:ext>
            </c:extLst>
          </c:dPt>
          <c:dPt>
            <c:idx val="1"/>
            <c:invertIfNegative val="0"/>
            <c:bubble3D val="0"/>
            <c:spPr>
              <a:solidFill>
                <a:srgbClr val="00B050"/>
              </a:solidFill>
              <a:ln>
                <a:noFill/>
              </a:ln>
              <a:effectLst/>
            </c:spPr>
            <c:extLst>
              <c:ext xmlns:c16="http://schemas.microsoft.com/office/drawing/2014/chart" uri="{C3380CC4-5D6E-409C-BE32-E72D297353CC}">
                <c16:uniqueId val="{00000008-85D2-4714-9203-75C0D038BD91}"/>
              </c:ext>
            </c:extLst>
          </c:dPt>
          <c:dPt>
            <c:idx val="2"/>
            <c:invertIfNegative val="0"/>
            <c:bubble3D val="0"/>
            <c:spPr>
              <a:solidFill>
                <a:srgbClr val="00B050"/>
              </a:solidFill>
              <a:ln>
                <a:noFill/>
              </a:ln>
              <a:effectLst/>
            </c:spPr>
            <c:extLst>
              <c:ext xmlns:c16="http://schemas.microsoft.com/office/drawing/2014/chart" uri="{C3380CC4-5D6E-409C-BE32-E72D297353CC}">
                <c16:uniqueId val="{00000007-E543-4718-BEAE-65A00454833E}"/>
              </c:ext>
            </c:extLst>
          </c:dPt>
          <c:dPt>
            <c:idx val="3"/>
            <c:invertIfNegative val="0"/>
            <c:bubble3D val="0"/>
            <c:spPr>
              <a:solidFill>
                <a:srgbClr val="00B050"/>
              </a:solidFill>
              <a:ln>
                <a:noFill/>
              </a:ln>
              <a:effectLst/>
            </c:spPr>
            <c:extLst>
              <c:ext xmlns:c16="http://schemas.microsoft.com/office/drawing/2014/chart" uri="{C3380CC4-5D6E-409C-BE32-E72D297353CC}">
                <c16:uniqueId val="{00000009-379E-4F3C-BF35-904665980981}"/>
              </c:ext>
            </c:extLst>
          </c:dPt>
          <c:dPt>
            <c:idx val="4"/>
            <c:invertIfNegative val="0"/>
            <c:bubble3D val="0"/>
            <c:spPr>
              <a:solidFill>
                <a:srgbClr val="00B050"/>
              </a:solidFill>
              <a:ln>
                <a:noFill/>
              </a:ln>
              <a:effectLst/>
            </c:spPr>
            <c:extLst>
              <c:ext xmlns:c16="http://schemas.microsoft.com/office/drawing/2014/chart" uri="{C3380CC4-5D6E-409C-BE32-E72D297353CC}">
                <c16:uniqueId val="{00000003-3B93-46C8-A282-D1DE008C819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PARTICIPA'!$E$74:$E$79</c:f>
              <c:numCache>
                <c:formatCode>0.0%</c:formatCode>
                <c:ptCount val="6"/>
                <c:pt idx="0">
                  <c:v>0.52344420487663357</c:v>
                </c:pt>
                <c:pt idx="1">
                  <c:v>0.6424021838034577</c:v>
                </c:pt>
                <c:pt idx="2">
                  <c:v>0.51249999999999996</c:v>
                </c:pt>
                <c:pt idx="3">
                  <c:v>0.5</c:v>
                </c:pt>
                <c:pt idx="4">
                  <c:v>0.46231884057971018</c:v>
                </c:pt>
                <c:pt idx="5">
                  <c:v>0.5</c:v>
                </c:pt>
              </c:numCache>
            </c:numRef>
          </c:val>
          <c:extLst>
            <c:ext xmlns:c16="http://schemas.microsoft.com/office/drawing/2014/chart" uri="{C3380CC4-5D6E-409C-BE32-E72D297353CC}">
              <c16:uniqueId val="{00000000-01B0-4197-9726-F8C8C5665729}"/>
            </c:ext>
          </c:extLst>
        </c:ser>
        <c:dLbls>
          <c:showLegendKey val="0"/>
          <c:showVal val="0"/>
          <c:showCatName val="0"/>
          <c:showSerName val="0"/>
          <c:showPercent val="0"/>
          <c:showBubbleSize val="0"/>
        </c:dLbls>
        <c:gapWidth val="219"/>
        <c:overlap val="-27"/>
        <c:axId val="432696648"/>
        <c:axId val="432695472"/>
      </c:barChart>
      <c:catAx>
        <c:axId val="43269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5472"/>
        <c:crosses val="autoZero"/>
        <c:auto val="1"/>
        <c:lblAlgn val="ctr"/>
        <c:lblOffset val="100"/>
        <c:noMultiLvlLbl val="0"/>
      </c:catAx>
      <c:valAx>
        <c:axId val="43269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6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AVANCE  PARCIAL LINEA ESTRATEGICA SEGURIDAD HUMANA. COMPONENTES IMPULSORES DE AVANCE.  </a:t>
            </a:r>
            <a:r>
              <a:rPr lang="es-CO" sz="1200" b="1" i="0" u="none" strike="noStrike" kern="1200" spc="0" baseline="0">
                <a:solidFill>
                  <a:srgbClr val="000000">
                    <a:lumMod val="65000"/>
                    <a:lumOff val="35000"/>
                  </a:srgbClr>
                </a:solidFill>
                <a:effectLst/>
                <a:latin typeface="+mn-lt"/>
                <a:ea typeface="+mn-ea"/>
                <a:cs typeface="+mn-cs"/>
              </a:rPr>
              <a:t>VIGENCIA 2025. CORTE  31 DE DICIEMBRE 2025</a:t>
            </a:r>
          </a:p>
        </c:rich>
      </c:tx>
      <c:layout>
        <c:manualLayout>
          <c:xMode val="edge"/>
          <c:yMode val="edge"/>
          <c:x val="0.12103242979758053"/>
          <c:y val="7.3994608119363949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8010071159874776E-2"/>
          <c:y val="0.17507210805228032"/>
          <c:w val="0.93527723174714594"/>
          <c:h val="0.61160031959186867"/>
        </c:manualLayout>
      </c:layout>
      <c:barChart>
        <c:barDir val="col"/>
        <c:grouping val="clustered"/>
        <c:varyColors val="0"/>
        <c:ser>
          <c:idx val="0"/>
          <c:order val="0"/>
          <c:tx>
            <c:strRef>
              <c:f>'GRAFICAS SEGURIDAD HUMANA'!$D$96</c:f>
              <c:strCache>
                <c:ptCount val="1"/>
                <c:pt idx="0">
                  <c:v>AVANCE  PARCIAL VIGENCIA  CORTE  31 DE DICIEMBRE DE 2025</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4288-459A-8F06-D3EBB40AB465}"/>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2-4288-459A-8F06-D3EBB40AB465}"/>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4288-459A-8F06-D3EBB40AB465}"/>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4288-459A-8F06-D3EBB40AB465}"/>
              </c:ext>
            </c:extLst>
          </c:dPt>
          <c:dPt>
            <c:idx val="4"/>
            <c:invertIfNegative val="0"/>
            <c:bubble3D val="0"/>
            <c:spPr>
              <a:solidFill>
                <a:srgbClr val="00B050"/>
              </a:solidFill>
              <a:ln>
                <a:noFill/>
              </a:ln>
              <a:effectLst/>
            </c:spPr>
            <c:extLst>
              <c:ext xmlns:c16="http://schemas.microsoft.com/office/drawing/2014/chart" uri="{C3380CC4-5D6E-409C-BE32-E72D297353CC}">
                <c16:uniqueId val="{00000007-4288-459A-8F06-D3EBB40AB465}"/>
              </c:ext>
            </c:extLst>
          </c:dPt>
          <c:dPt>
            <c:idx val="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8-4288-459A-8F06-D3EBB40AB46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HUMANA'!$C$97:$C$102</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HUMANA'!$D$97:$D$102</c:f>
              <c:numCache>
                <c:formatCode>0.0%</c:formatCode>
                <c:ptCount val="6"/>
                <c:pt idx="0">
                  <c:v>0.8432679950416061</c:v>
                </c:pt>
                <c:pt idx="1">
                  <c:v>0.77851983833052174</c:v>
                </c:pt>
                <c:pt idx="2">
                  <c:v>0.82692475233100227</c:v>
                </c:pt>
                <c:pt idx="3">
                  <c:v>0.88713331914538984</c:v>
                </c:pt>
                <c:pt idx="4">
                  <c:v>0.93408960568490651</c:v>
                </c:pt>
                <c:pt idx="5">
                  <c:v>0.78967245971620981</c:v>
                </c:pt>
              </c:numCache>
            </c:numRef>
          </c:val>
          <c:extLst>
            <c:ext xmlns:c16="http://schemas.microsoft.com/office/drawing/2014/chart" uri="{C3380CC4-5D6E-409C-BE32-E72D297353CC}">
              <c16:uniqueId val="{00000000-4288-459A-8F06-D3EBB40AB465}"/>
            </c:ext>
          </c:extLst>
        </c:ser>
        <c:dLbls>
          <c:showLegendKey val="0"/>
          <c:showVal val="0"/>
          <c:showCatName val="0"/>
          <c:showSerName val="0"/>
          <c:showPercent val="0"/>
          <c:showBubbleSize val="0"/>
        </c:dLbls>
        <c:gapWidth val="219"/>
        <c:overlap val="-27"/>
        <c:axId val="428039824"/>
        <c:axId val="428035904"/>
      </c:barChart>
      <c:catAx>
        <c:axId val="42803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28035904"/>
        <c:crosses val="autoZero"/>
        <c:auto val="1"/>
        <c:lblAlgn val="ctr"/>
        <c:lblOffset val="100"/>
        <c:noMultiLvlLbl val="0"/>
      </c:catAx>
      <c:valAx>
        <c:axId val="4280359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9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s-CO" sz="1500" b="1"/>
              <a:t>AVANCE RESPECTO AL CUATRIENIO DE LOS COMPONENTES IMPULSORES LINEA ESTRATÉGICA INNOVACIÓN Y PARTICIPACIÓN. COMPARATIVO DICIEMBRE </a:t>
            </a:r>
            <a:r>
              <a:rPr lang="es-CO" sz="1500" b="1" i="0" u="none" strike="noStrike" kern="1200" spc="0" baseline="0">
                <a:solidFill>
                  <a:srgbClr val="000000">
                    <a:lumMod val="65000"/>
                    <a:lumOff val="35000"/>
                  </a:srgbClr>
                </a:solidFill>
                <a:latin typeface="+mn-lt"/>
                <a:ea typeface="+mn-ea"/>
                <a:cs typeface="+mn-cs"/>
              </a:rPr>
              <a:t>DE  2024 - 31 DE DICIEMBRE DE 2025.</a:t>
            </a: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3166325688546572E-2"/>
          <c:y val="9.8100104931210214E-2"/>
          <c:w val="0.94682639629107501"/>
          <c:h val="0.63326333280450231"/>
        </c:manualLayout>
      </c:layout>
      <c:barChart>
        <c:barDir val="col"/>
        <c:grouping val="clustered"/>
        <c:varyColors val="0"/>
        <c:ser>
          <c:idx val="0"/>
          <c:order val="0"/>
          <c:tx>
            <c:strRef>
              <c:f>'GRAFICAS INNOVACIÓN Y PARTICIPA'!$D$4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0.4993734663770556</c:v>
                </c:pt>
                <c:pt idx="1">
                  <c:v>0.44564814814814813</c:v>
                </c:pt>
                <c:pt idx="2">
                  <c:v>0.4688387775963947</c:v>
                </c:pt>
                <c:pt idx="3">
                  <c:v>0.50982794224574346</c:v>
                </c:pt>
                <c:pt idx="4">
                  <c:v>0.5349577019952263</c:v>
                </c:pt>
                <c:pt idx="5">
                  <c:v>0.49043977987101872</c:v>
                </c:pt>
                <c:pt idx="6">
                  <c:v>0.50808654572940293</c:v>
                </c:pt>
              </c:numCache>
            </c:numRef>
          </c:val>
          <c:extLst>
            <c:ext xmlns:c16="http://schemas.microsoft.com/office/drawing/2014/chart" uri="{C3380CC4-5D6E-409C-BE32-E72D297353CC}">
              <c16:uniqueId val="{00000000-125E-4083-82CC-469450A6180B}"/>
            </c:ext>
          </c:extLst>
        </c:ser>
        <c:ser>
          <c:idx val="1"/>
          <c:order val="1"/>
          <c:tx>
            <c:strRef>
              <c:f>'GRAFICAS INNOVACIÓN Y PARTICIPA'!$E$4</c:f>
              <c:strCache>
                <c:ptCount val="1"/>
                <c:pt idx="0">
                  <c:v>LOGRO VIGENCIA  CORTE 31 DE DICIEMBRE DE 2025 RESPECTO AL CUATRIENIO</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55DF-4B6F-835B-72A17ED96A7C}"/>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8-86A9-4335-A7BD-AC48D9867D80}"/>
              </c:ext>
            </c:extLst>
          </c:dPt>
          <c:dPt>
            <c:idx val="2"/>
            <c:invertIfNegative val="0"/>
            <c:bubble3D val="0"/>
            <c:spPr>
              <a:solidFill>
                <a:srgbClr val="00B050"/>
              </a:solidFill>
              <a:ln>
                <a:noFill/>
              </a:ln>
              <a:effectLst/>
            </c:spPr>
            <c:extLst>
              <c:ext xmlns:c16="http://schemas.microsoft.com/office/drawing/2014/chart" uri="{C3380CC4-5D6E-409C-BE32-E72D297353CC}">
                <c16:uniqueId val="{00000009-86A9-4335-A7BD-AC48D9867D80}"/>
              </c:ext>
            </c:extLst>
          </c:dPt>
          <c:dPt>
            <c:idx val="3"/>
            <c:invertIfNegative val="0"/>
            <c:bubble3D val="0"/>
            <c:spPr>
              <a:solidFill>
                <a:srgbClr val="00B050"/>
              </a:solidFill>
              <a:ln>
                <a:noFill/>
              </a:ln>
              <a:effectLst/>
            </c:spPr>
            <c:extLst>
              <c:ext xmlns:c16="http://schemas.microsoft.com/office/drawing/2014/chart" uri="{C3380CC4-5D6E-409C-BE32-E72D297353CC}">
                <c16:uniqueId val="{00000004-CF26-4AF9-9871-BF63DC4B1D54}"/>
              </c:ext>
            </c:extLst>
          </c:dPt>
          <c:dPt>
            <c:idx val="4"/>
            <c:invertIfNegative val="0"/>
            <c:bubble3D val="0"/>
            <c:spPr>
              <a:solidFill>
                <a:srgbClr val="00B050"/>
              </a:solidFill>
              <a:ln>
                <a:noFill/>
              </a:ln>
              <a:effectLst/>
            </c:spPr>
            <c:extLst>
              <c:ext xmlns:c16="http://schemas.microsoft.com/office/drawing/2014/chart" uri="{C3380CC4-5D6E-409C-BE32-E72D297353CC}">
                <c16:uniqueId val="{00000000-6B9C-4488-A5D8-BFCAE3172664}"/>
              </c:ext>
            </c:extLst>
          </c:dPt>
          <c:dPt>
            <c:idx val="5"/>
            <c:invertIfNegative val="0"/>
            <c:bubble3D val="0"/>
            <c:spPr>
              <a:solidFill>
                <a:srgbClr val="00B050"/>
              </a:solidFill>
              <a:ln>
                <a:noFill/>
              </a:ln>
              <a:effectLst/>
            </c:spPr>
            <c:extLst>
              <c:ext xmlns:c16="http://schemas.microsoft.com/office/drawing/2014/chart" uri="{C3380CC4-5D6E-409C-BE32-E72D297353CC}">
                <c16:uniqueId val="{0000000A-86A9-4335-A7BD-AC48D9867D80}"/>
              </c:ext>
            </c:extLst>
          </c:dPt>
          <c:dPt>
            <c:idx val="6"/>
            <c:invertIfNegative val="0"/>
            <c:bubble3D val="0"/>
            <c:spPr>
              <a:solidFill>
                <a:srgbClr val="00B050"/>
              </a:solidFill>
              <a:ln>
                <a:noFill/>
              </a:ln>
              <a:effectLst/>
            </c:spPr>
            <c:extLst>
              <c:ext xmlns:c16="http://schemas.microsoft.com/office/drawing/2014/chart" uri="{C3380CC4-5D6E-409C-BE32-E72D297353CC}">
                <c16:uniqueId val="{00000001-6B9C-4488-A5D8-BFCAE317266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0.54534437455673601</c:v>
                </c:pt>
                <c:pt idx="1">
                  <c:v>0.40580555555555553</c:v>
                </c:pt>
                <c:pt idx="2">
                  <c:v>0.46666914224150913</c:v>
                </c:pt>
                <c:pt idx="3">
                  <c:v>0.77712521124768763</c:v>
                </c:pt>
                <c:pt idx="4">
                  <c:v>0.52344420487663357</c:v>
                </c:pt>
                <c:pt idx="5">
                  <c:v>0.4683245805089773</c:v>
                </c:pt>
                <c:pt idx="6">
                  <c:v>0.56069755291005297</c:v>
                </c:pt>
              </c:numCache>
            </c:numRef>
          </c:val>
          <c:extLst>
            <c:ext xmlns:c16="http://schemas.microsoft.com/office/drawing/2014/chart" uri="{C3380CC4-5D6E-409C-BE32-E72D297353CC}">
              <c16:uniqueId val="{00000001-125E-4083-82CC-469450A6180B}"/>
            </c:ext>
          </c:extLst>
        </c:ser>
        <c:ser>
          <c:idx val="2"/>
          <c:order val="2"/>
          <c:tx>
            <c:strRef>
              <c:f>'GRAFICAS INNOVACIÓN Y PARTICIPA'!$F$4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PARTICIPA'!$F$5:$F$11</c:f>
              <c:numCache>
                <c:formatCode>0.0%</c:formatCode>
                <c:ptCount val="7"/>
                <c:pt idx="0">
                  <c:v>0.21734598565460142</c:v>
                </c:pt>
                <c:pt idx="1">
                  <c:v>0.21</c:v>
                </c:pt>
                <c:pt idx="2">
                  <c:v>0.20252323663937852</c:v>
                </c:pt>
                <c:pt idx="3">
                  <c:v>0.25580038172039926</c:v>
                </c:pt>
                <c:pt idx="4">
                  <c:v>0.25439168183196847</c:v>
                </c:pt>
                <c:pt idx="5">
                  <c:v>0.17211584073705719</c:v>
                </c:pt>
                <c:pt idx="6">
                  <c:v>0.20924477299880526</c:v>
                </c:pt>
              </c:numCache>
            </c:numRef>
          </c:val>
          <c:extLst>
            <c:ext xmlns:c16="http://schemas.microsoft.com/office/drawing/2014/chart" uri="{C3380CC4-5D6E-409C-BE32-E72D297353CC}">
              <c16:uniqueId val="{00000002-125E-4083-82CC-469450A6180B}"/>
            </c:ext>
          </c:extLst>
        </c:ser>
        <c:dLbls>
          <c:showLegendKey val="0"/>
          <c:showVal val="0"/>
          <c:showCatName val="0"/>
          <c:showSerName val="0"/>
          <c:showPercent val="0"/>
          <c:showBubbleSize val="0"/>
        </c:dLbls>
        <c:gapWidth val="219"/>
        <c:overlap val="-27"/>
        <c:axId val="456094968"/>
        <c:axId val="456088696"/>
      </c:barChart>
      <c:catAx>
        <c:axId val="456094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56088696"/>
        <c:crosses val="autoZero"/>
        <c:auto val="1"/>
        <c:lblAlgn val="ctr"/>
        <c:lblOffset val="100"/>
        <c:noMultiLvlLbl val="0"/>
      </c:catAx>
      <c:valAx>
        <c:axId val="456088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4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2067605830847043E-2"/>
          <c:y val="8.4984381972333795E-2"/>
          <c:w val="0.95344803727459904"/>
          <c:h val="0.75500444472553385"/>
        </c:manualLayout>
      </c:layout>
      <c:barChart>
        <c:barDir val="col"/>
        <c:grouping val="clustered"/>
        <c:varyColors val="0"/>
        <c:ser>
          <c:idx val="0"/>
          <c:order val="0"/>
          <c:tx>
            <c:strRef>
              <c:f>'GRAFICAS INNOVACIÓN Y PARTICIPA'!$E$94</c:f>
              <c:strCache>
                <c:ptCount val="1"/>
                <c:pt idx="0">
                  <c:v>AVANCE CUATRIENIO IMPULSOR DE AVANCE: SISTEMA DE PLANEACIÓN DISTRITAL.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8-8B3E-4E9A-B096-2B5C60A1A296}"/>
              </c:ext>
            </c:extLst>
          </c:dPt>
          <c:dPt>
            <c:idx val="1"/>
            <c:invertIfNegative val="0"/>
            <c:bubble3D val="0"/>
            <c:spPr>
              <a:solidFill>
                <a:srgbClr val="00B050"/>
              </a:solidFill>
              <a:ln>
                <a:noFill/>
              </a:ln>
              <a:effectLst/>
            </c:spPr>
            <c:extLst>
              <c:ext xmlns:c16="http://schemas.microsoft.com/office/drawing/2014/chart" uri="{C3380CC4-5D6E-409C-BE32-E72D297353CC}">
                <c16:uniqueId val="{00000002-F0DC-4B6A-8D1C-769DF6F5CF73}"/>
              </c:ext>
            </c:extLst>
          </c:dPt>
          <c:dPt>
            <c:idx val="2"/>
            <c:invertIfNegative val="0"/>
            <c:bubble3D val="0"/>
            <c:spPr>
              <a:solidFill>
                <a:srgbClr val="00B050"/>
              </a:solidFill>
              <a:ln>
                <a:noFill/>
              </a:ln>
              <a:effectLst/>
            </c:spPr>
            <c:extLst>
              <c:ext xmlns:c16="http://schemas.microsoft.com/office/drawing/2014/chart" uri="{C3380CC4-5D6E-409C-BE32-E72D297353CC}">
                <c16:uniqueId val="{00000003-F0DC-4B6A-8D1C-769DF6F5CF73}"/>
              </c:ext>
            </c:extLst>
          </c:dPt>
          <c:dPt>
            <c:idx val="3"/>
            <c:invertIfNegative val="0"/>
            <c:bubble3D val="0"/>
            <c:spPr>
              <a:solidFill>
                <a:srgbClr val="00B050"/>
              </a:solidFill>
              <a:ln>
                <a:noFill/>
              </a:ln>
              <a:effectLst/>
            </c:spPr>
            <c:extLst>
              <c:ext xmlns:c16="http://schemas.microsoft.com/office/drawing/2014/chart" uri="{C3380CC4-5D6E-409C-BE32-E72D297353CC}">
                <c16:uniqueId val="{0000000D-B2E2-4D08-BE5B-AD4C196C1AE2}"/>
              </c:ext>
            </c:extLst>
          </c:dPt>
          <c:dPt>
            <c:idx val="4"/>
            <c:invertIfNegative val="0"/>
            <c:bubble3D val="0"/>
            <c:spPr>
              <a:solidFill>
                <a:srgbClr val="00B050"/>
              </a:solidFill>
              <a:ln>
                <a:noFill/>
              </a:ln>
              <a:effectLst/>
            </c:spPr>
            <c:extLst>
              <c:ext xmlns:c16="http://schemas.microsoft.com/office/drawing/2014/chart" uri="{C3380CC4-5D6E-409C-BE32-E72D297353CC}">
                <c16:uniqueId val="{0000000A-DD68-440A-AFA6-6E5A21EF514D}"/>
              </c:ext>
            </c:extLst>
          </c:dPt>
          <c:dPt>
            <c:idx val="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F0DC-4B6A-8D1C-769DF6F5CF73}"/>
              </c:ext>
            </c:extLst>
          </c:dPt>
          <c:dPt>
            <c:idx val="6"/>
            <c:invertIfNegative val="0"/>
            <c:bubble3D val="0"/>
            <c:spPr>
              <a:solidFill>
                <a:srgbClr val="00B050"/>
              </a:solidFill>
              <a:ln>
                <a:noFill/>
              </a:ln>
              <a:effectLst/>
            </c:spPr>
            <c:extLst>
              <c:ext xmlns:c16="http://schemas.microsoft.com/office/drawing/2014/chart" uri="{C3380CC4-5D6E-409C-BE32-E72D297353CC}">
                <c16:uniqueId val="{00000005-F0DC-4B6A-8D1C-769DF6F5CF7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PARTICIPA'!$E$95:$E$101</c:f>
              <c:numCache>
                <c:formatCode>0.0%</c:formatCode>
                <c:ptCount val="7"/>
                <c:pt idx="0">
                  <c:v>0.56069755291005297</c:v>
                </c:pt>
                <c:pt idx="1">
                  <c:v>0.82333333333333347</c:v>
                </c:pt>
                <c:pt idx="2">
                  <c:v>0.53839166666666671</c:v>
                </c:pt>
                <c:pt idx="3">
                  <c:v>0.46607142857142858</c:v>
                </c:pt>
                <c:pt idx="4">
                  <c:v>0.72222222222222221</c:v>
                </c:pt>
                <c:pt idx="5">
                  <c:v>0.35416666666666669</c:v>
                </c:pt>
                <c:pt idx="6">
                  <c:v>0.46</c:v>
                </c:pt>
              </c:numCache>
            </c:numRef>
          </c:val>
          <c:extLst>
            <c:ext xmlns:c16="http://schemas.microsoft.com/office/drawing/2014/chart" uri="{C3380CC4-5D6E-409C-BE32-E72D297353CC}">
              <c16:uniqueId val="{00000000-F0DC-4B6A-8D1C-769DF6F5CF73}"/>
            </c:ext>
          </c:extLst>
        </c:ser>
        <c:dLbls>
          <c:showLegendKey val="0"/>
          <c:showVal val="0"/>
          <c:showCatName val="0"/>
          <c:showSerName val="0"/>
          <c:showPercent val="0"/>
          <c:showBubbleSize val="0"/>
        </c:dLbls>
        <c:gapWidth val="219"/>
        <c:overlap val="-27"/>
        <c:axId val="456092616"/>
        <c:axId val="456096928"/>
      </c:barChart>
      <c:catAx>
        <c:axId val="45609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6928"/>
        <c:crosses val="autoZero"/>
        <c:auto val="1"/>
        <c:lblAlgn val="ctr"/>
        <c:lblOffset val="100"/>
        <c:noMultiLvlLbl val="0"/>
      </c:catAx>
      <c:valAx>
        <c:axId val="4560969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2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 avance: Sistema de Planeación Distrital. Avance ponderado </a:t>
            </a:r>
            <a:r>
              <a:rPr lang="en-US" sz="1800" b="1" i="0" u="none" strike="noStrike" kern="1200" spc="0" baseline="0">
                <a:solidFill>
                  <a:srgbClr val="000000">
                    <a:lumMod val="65000"/>
                    <a:lumOff val="35000"/>
                  </a:srgbClr>
                </a:solidFill>
                <a:effectLst/>
                <a:latin typeface="+mn-lt"/>
                <a:ea typeface="+mn-ea"/>
                <a:cs typeface="+mn-cs"/>
              </a:rPr>
              <a:t>corte  </a:t>
            </a:r>
            <a:r>
              <a:rPr lang="es-CO" sz="1800" b="1" i="0" u="none" strike="noStrike" kern="1200" spc="0" baseline="0">
                <a:solidFill>
                  <a:srgbClr val="000000">
                    <a:lumMod val="65000"/>
                    <a:lumOff val="35000"/>
                  </a:srgbClr>
                </a:solidFill>
                <a:effectLst/>
                <a:latin typeface="+mn-lt"/>
                <a:ea typeface="+mn-ea"/>
                <a:cs typeface="+mn-cs"/>
              </a:rPr>
              <a:t>31 de diciembre de 2025</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PARTICIPA'!$D$94</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PARTICIPA'!$D$95:$D$101</c:f>
              <c:numCache>
                <c:formatCode>0.0%</c:formatCode>
                <c:ptCount val="7"/>
                <c:pt idx="0">
                  <c:v>0.49863416666666671</c:v>
                </c:pt>
                <c:pt idx="1">
                  <c:v>0.51416666666666666</c:v>
                </c:pt>
                <c:pt idx="2">
                  <c:v>0.54608749999999995</c:v>
                </c:pt>
                <c:pt idx="3">
                  <c:v>0.50124999999999997</c:v>
                </c:pt>
                <c:pt idx="4">
                  <c:v>0.66666666666666674</c:v>
                </c:pt>
                <c:pt idx="5">
                  <c:v>0.31666666666666665</c:v>
                </c:pt>
                <c:pt idx="6">
                  <c:v>0.46</c:v>
                </c:pt>
              </c:numCache>
            </c:numRef>
          </c:val>
          <c:extLst>
            <c:ext xmlns:c16="http://schemas.microsoft.com/office/drawing/2014/chart" uri="{C3380CC4-5D6E-409C-BE32-E72D297353CC}">
              <c16:uniqueId val="{00000000-0ACD-4C28-B868-A47967C61A2E}"/>
            </c:ext>
          </c:extLst>
        </c:ser>
        <c:dLbls>
          <c:showLegendKey val="0"/>
          <c:showVal val="0"/>
          <c:showCatName val="0"/>
          <c:showSerName val="0"/>
          <c:showPercent val="0"/>
          <c:showBubbleSize val="0"/>
        </c:dLbls>
        <c:gapWidth val="219"/>
        <c:overlap val="-27"/>
        <c:axId val="456096144"/>
        <c:axId val="456096536"/>
      </c:barChart>
      <c:catAx>
        <c:axId val="45609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6536"/>
        <c:crosses val="autoZero"/>
        <c:auto val="1"/>
        <c:lblAlgn val="ctr"/>
        <c:lblOffset val="100"/>
        <c:noMultiLvlLbl val="0"/>
      </c:catAx>
      <c:valAx>
        <c:axId val="456096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6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154895636551555E-2"/>
          <c:y val="2.2913833324577942E-2"/>
          <c:w val="0.93184508186476689"/>
          <c:h val="0.77591922454303985"/>
        </c:manualLayout>
      </c:layout>
      <c:bar3DChart>
        <c:barDir val="col"/>
        <c:grouping val="clustered"/>
        <c:varyColors val="0"/>
        <c:ser>
          <c:idx val="0"/>
          <c:order val="0"/>
          <c:tx>
            <c:strRef>
              <c:f>'GRAFICAS INNOVACIÓN Y PARTICIPA'!$E$67</c:f>
              <c:strCache>
                <c:ptCount val="1"/>
                <c:pt idx="0">
                  <c:v>AVANCE CUATRIENIO IMPULSOR DE AVANCE: FINANZAS PÚBLICAS. CORTE 31 DE DICIEMBRE DE 2025</c:v>
                </c:pt>
              </c:strCache>
            </c:strRef>
          </c:tx>
          <c:spPr>
            <a:solidFill>
              <a:srgbClr val="00B050"/>
            </a:solidFill>
            <a:ln>
              <a:noFill/>
            </a:ln>
            <a:effectLst/>
            <a:sp3d/>
          </c:spPr>
          <c:invertIfNegative val="0"/>
          <c:dPt>
            <c:idx val="0"/>
            <c:invertIfNegative val="0"/>
            <c:bubble3D val="0"/>
            <c:spPr>
              <a:solidFill>
                <a:srgbClr val="00B050"/>
              </a:solidFill>
              <a:ln>
                <a:noFill/>
              </a:ln>
              <a:effectLst/>
              <a:sp3d/>
            </c:spPr>
            <c:extLst>
              <c:ext xmlns:c16="http://schemas.microsoft.com/office/drawing/2014/chart" uri="{C3380CC4-5D6E-409C-BE32-E72D297353CC}">
                <c16:uniqueId val="{00000003-6972-4705-8D41-5EDBDDDF0ABD}"/>
              </c:ext>
            </c:extLst>
          </c:dPt>
          <c:dPt>
            <c:idx val="1"/>
            <c:invertIfNegative val="0"/>
            <c:bubble3D val="0"/>
            <c:spPr>
              <a:solidFill>
                <a:srgbClr val="00B050"/>
              </a:solidFill>
              <a:ln>
                <a:noFill/>
              </a:ln>
              <a:effectLst/>
              <a:sp3d/>
            </c:spPr>
            <c:extLst>
              <c:ext xmlns:c16="http://schemas.microsoft.com/office/drawing/2014/chart" uri="{C3380CC4-5D6E-409C-BE32-E72D297353CC}">
                <c16:uniqueId val="{00000006-6972-4705-8D41-5EDBDDDF0ABD}"/>
              </c:ext>
            </c:extLst>
          </c:dPt>
          <c:dPt>
            <c:idx val="2"/>
            <c:invertIfNegative val="0"/>
            <c:bubble3D val="0"/>
            <c:spPr>
              <a:solidFill>
                <a:srgbClr val="00B050"/>
              </a:solidFill>
              <a:ln>
                <a:noFill/>
              </a:ln>
              <a:effectLst/>
              <a:sp3d/>
            </c:spPr>
            <c:extLst>
              <c:ext xmlns:c16="http://schemas.microsoft.com/office/drawing/2014/chart" uri="{C3380CC4-5D6E-409C-BE32-E72D297353CC}">
                <c16:uniqueId val="{00000008-6972-4705-8D41-5EDBDDDF0ABD}"/>
              </c:ext>
            </c:extLst>
          </c:dPt>
          <c:dLbls>
            <c:dLbl>
              <c:idx val="0"/>
              <c:layout>
                <c:manualLayout>
                  <c:x val="-2.976190476190476E-3"/>
                  <c:y val="0.107285429141716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72-4705-8D41-5EDBDDDF0ABD}"/>
                </c:ext>
              </c:extLst>
            </c:dLbl>
            <c:dLbl>
              <c:idx val="1"/>
              <c:layout>
                <c:manualLayout>
                  <c:x val="-1.9841269841270569E-3"/>
                  <c:y val="8.982035928143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72-4705-8D41-5EDBDDDF0ABD}"/>
                </c:ext>
              </c:extLst>
            </c:dLbl>
            <c:dLbl>
              <c:idx val="2"/>
              <c:layout>
                <c:manualLayout>
                  <c:x val="9.9206349206349201E-4"/>
                  <c:y val="0.129740518962075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72-4705-8D41-5EDBDDDF0ABD}"/>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PARTICIPA'!$C$68:$C$70</c:f>
              <c:strCache>
                <c:ptCount val="3"/>
                <c:pt idx="0">
                  <c:v> Finanzas Públicas
</c:v>
                </c:pt>
                <c:pt idx="1">
                  <c:v> GESTIÓN FISCAL Y FINANCIERA OPORTUNA</c:v>
                </c:pt>
                <c:pt idx="2">
                  <c:v> HACIENDA MODERNA Y DIGITAL</c:v>
                </c:pt>
              </c:strCache>
            </c:strRef>
          </c:cat>
          <c:val>
            <c:numRef>
              <c:f>'GRAFICAS INNOVACIÓN Y PARTICIPA'!$E$68:$E$70</c:f>
              <c:numCache>
                <c:formatCode>0.0%</c:formatCode>
                <c:ptCount val="3"/>
                <c:pt idx="0">
                  <c:v>0.77712521124768763</c:v>
                </c:pt>
                <c:pt idx="1">
                  <c:v>0.55425042249537515</c:v>
                </c:pt>
                <c:pt idx="2">
                  <c:v>1</c:v>
                </c:pt>
              </c:numCache>
            </c:numRef>
          </c:val>
          <c:extLst>
            <c:ext xmlns:c16="http://schemas.microsoft.com/office/drawing/2014/chart" uri="{C3380CC4-5D6E-409C-BE32-E72D297353CC}">
              <c16:uniqueId val="{00000000-6972-4705-8D41-5EDBDDDF0ABD}"/>
            </c:ext>
          </c:extLst>
        </c:ser>
        <c:dLbls>
          <c:showLegendKey val="0"/>
          <c:showVal val="0"/>
          <c:showCatName val="0"/>
          <c:showSerName val="0"/>
          <c:showPercent val="0"/>
          <c:showBubbleSize val="0"/>
        </c:dLbls>
        <c:gapWidth val="150"/>
        <c:shape val="box"/>
        <c:axId val="305697872"/>
        <c:axId val="305696624"/>
        <c:axId val="0"/>
      </c:bar3DChart>
      <c:catAx>
        <c:axId val="305697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305696624"/>
        <c:crosses val="autoZero"/>
        <c:auto val="1"/>
        <c:lblAlgn val="ctr"/>
        <c:lblOffset val="100"/>
        <c:noMultiLvlLbl val="0"/>
      </c:catAx>
      <c:valAx>
        <c:axId val="305696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30569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500" b="1"/>
              <a:t>AVANCE RESPECTO AL CUATRIENIO DE LOS COMPONENTES IMPULSORES CAPITULO</a:t>
            </a:r>
            <a:r>
              <a:rPr lang="es-CO" sz="1500" b="1" baseline="0"/>
              <a:t> ETNICO. </a:t>
            </a:r>
            <a:r>
              <a:rPr lang="es-ES" sz="1500" b="1" i="0" u="none" strike="noStrike" baseline="0">
                <a:effectLst/>
              </a:rPr>
              <a:t>31 DE DICIEMBRE DE 2025</a:t>
            </a:r>
            <a:endParaRPr lang="es-CO" sz="15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C9-44F4-85AF-15022E80278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0.31880731922398586</c:v>
                </c:pt>
                <c:pt idx="1">
                  <c:v>0.28329365079365076</c:v>
                </c:pt>
                <c:pt idx="2">
                  <c:v>0.35432098765432096</c:v>
                </c:pt>
              </c:numCache>
            </c:numRef>
          </c:val>
          <c:extLst>
            <c:ext xmlns:c16="http://schemas.microsoft.com/office/drawing/2014/chart" uri="{C3380CC4-5D6E-409C-BE32-E72D297353CC}">
              <c16:uniqueId val="{00000001-7BC9-44F4-85AF-15022E80278B}"/>
            </c:ext>
          </c:extLst>
        </c:ser>
        <c:ser>
          <c:idx val="1"/>
          <c:order val="1"/>
          <c:tx>
            <c:strRef>
              <c:f>'GRAFICAS CAPITULO ETNICO'!$E$4</c:f>
              <c:strCache>
                <c:ptCount val="1"/>
                <c:pt idx="0">
                  <c:v>LOGRO VIGENCIA  CORTE 31 DE DICIEMBRE DE 2025 RESPECTO AL CUATRIENIO</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5B74-4EE9-B6C7-31A574A6A036}"/>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0DCB-43DD-A2D3-3DC5D2BC4390}"/>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5CE8-440B-8FAC-BDEE12B73496}"/>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0.36192553511303516</c:v>
                </c:pt>
                <c:pt idx="1">
                  <c:v>0.35168903318903322</c:v>
                </c:pt>
                <c:pt idx="2">
                  <c:v>0.37216203703703704</c:v>
                </c:pt>
              </c:numCache>
            </c:numRef>
          </c:val>
          <c:extLst>
            <c:ext xmlns:c16="http://schemas.microsoft.com/office/drawing/2014/chart" uri="{C3380CC4-5D6E-409C-BE32-E72D297353CC}">
              <c16:uniqueId val="{00000002-7BC9-44F4-85AF-15022E80278B}"/>
            </c:ext>
          </c:extLst>
        </c:ser>
        <c:dLbls>
          <c:showLegendKey val="0"/>
          <c:showVal val="0"/>
          <c:showCatName val="0"/>
          <c:showSerName val="0"/>
          <c:showPercent val="0"/>
          <c:showBubbleSize val="0"/>
        </c:dLbls>
        <c:gapWidth val="219"/>
        <c:overlap val="-27"/>
        <c:axId val="456090656"/>
        <c:axId val="456092224"/>
      </c:barChart>
      <c:catAx>
        <c:axId val="45609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56092224"/>
        <c:crosses val="autoZero"/>
        <c:auto val="1"/>
        <c:lblAlgn val="ctr"/>
        <c:lblOffset val="100"/>
        <c:noMultiLvlLbl val="0"/>
      </c:catAx>
      <c:valAx>
        <c:axId val="456092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s-CO" sz="1300" b="1"/>
              <a:t>AVANCE RESPECTO AL CUATRIENIO DE LOS COMPONENTES IMPULSORES CAPITULO </a:t>
            </a:r>
            <a:r>
              <a:rPr lang="es-CO" sz="1300" b="1" i="0" u="none" strike="noStrike" kern="1200" spc="0" baseline="0">
                <a:solidFill>
                  <a:srgbClr val="000000">
                    <a:lumMod val="65000"/>
                    <a:lumOff val="35000"/>
                  </a:srgbClr>
                </a:solidFill>
                <a:latin typeface="+mn-lt"/>
                <a:ea typeface="+mn-ea"/>
                <a:cs typeface="+mn-cs"/>
              </a:rPr>
              <a:t>ETNICO  </a:t>
            </a:r>
            <a:r>
              <a:rPr lang="es-ES" sz="1400" b="1" i="0" u="none" strike="noStrike" baseline="0">
                <a:effectLst/>
              </a:rPr>
              <a:t>31 DE DICIEMBRE DE 2025.</a:t>
            </a:r>
            <a:r>
              <a:rPr lang="es-CO" sz="1300" b="1" i="0" u="none" strike="noStrike" kern="1200" spc="0" baseline="0">
                <a:solidFill>
                  <a:srgbClr val="000000">
                    <a:lumMod val="65000"/>
                    <a:lumOff val="35000"/>
                  </a:srgbClr>
                </a:solidFill>
                <a:latin typeface="+mn-lt"/>
                <a:ea typeface="+mn-ea"/>
                <a:cs typeface="+mn-cs"/>
              </a:rPr>
              <a:t>  PONDERADO</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ETNICO'!$L$4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ETNICO'!$L$5:$L$7</c:f>
              <c:numCache>
                <c:formatCode>0.0%</c:formatCode>
                <c:ptCount val="3"/>
                <c:pt idx="0">
                  <c:v>0.31579166666666669</c:v>
                </c:pt>
                <c:pt idx="1">
                  <c:v>0.25497222222222221</c:v>
                </c:pt>
                <c:pt idx="2">
                  <c:v>0.96064814814814814</c:v>
                </c:pt>
              </c:numCache>
            </c:numRef>
          </c:val>
          <c:extLst>
            <c:ext xmlns:c16="http://schemas.microsoft.com/office/drawing/2014/chart" uri="{C3380CC4-5D6E-409C-BE32-E72D297353CC}">
              <c16:uniqueId val="{00000000-78A2-414D-B5B1-570AF4D2AB9E}"/>
            </c:ext>
          </c:extLst>
        </c:ser>
        <c:ser>
          <c:idx val="1"/>
          <c:order val="1"/>
          <c:tx>
            <c:strRef>
              <c:f>'GRAFICAS CAPITULO ETNICO'!$M$4</c:f>
              <c:strCache>
                <c:ptCount val="1"/>
                <c:pt idx="0">
                  <c:v>LOGRO CORTE 15 DE SEPTIEMBRE DE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ETNICO'!$M$5:$M$7</c:f>
              <c:numCache>
                <c:formatCode>0.0%</c:formatCode>
                <c:ptCount val="3"/>
                <c:pt idx="0">
                  <c:v>0.33027767045454548</c:v>
                </c:pt>
                <c:pt idx="1">
                  <c:v>0.32727939393939398</c:v>
                </c:pt>
                <c:pt idx="2">
                  <c:v>0.33927250000000003</c:v>
                </c:pt>
              </c:numCache>
            </c:numRef>
          </c:val>
          <c:extLst>
            <c:ext xmlns:c16="http://schemas.microsoft.com/office/drawing/2014/chart" uri="{C3380CC4-5D6E-409C-BE32-E72D297353CC}">
              <c16:uniqueId val="{00000001-78A2-414D-B5B1-570AF4D2AB9E}"/>
            </c:ext>
          </c:extLst>
        </c:ser>
        <c:dLbls>
          <c:showLegendKey val="0"/>
          <c:showVal val="0"/>
          <c:showCatName val="0"/>
          <c:showSerName val="0"/>
          <c:showPercent val="0"/>
          <c:showBubbleSize val="0"/>
        </c:dLbls>
        <c:gapWidth val="219"/>
        <c:overlap val="-27"/>
        <c:axId val="456091048"/>
        <c:axId val="456094576"/>
      </c:barChart>
      <c:catAx>
        <c:axId val="45609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4576"/>
        <c:crosses val="autoZero"/>
        <c:auto val="1"/>
        <c:lblAlgn val="ctr"/>
        <c:lblOffset val="100"/>
        <c:noMultiLvlLbl val="0"/>
      </c:catAx>
      <c:valAx>
        <c:axId val="456094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1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rgbClr val="000000">
                    <a:lumMod val="65000"/>
                    <a:lumOff val="35000"/>
                  </a:srgbClr>
                </a:solidFill>
                <a:latin typeface="+mn-lt"/>
                <a:ea typeface="+mn-ea"/>
                <a:cs typeface="+mn-cs"/>
              </a:defRPr>
            </a:pPr>
            <a:r>
              <a:rPr lang="en-US" sz="1500" b="1" i="0" baseline="0">
                <a:effectLst/>
              </a:rPr>
              <a:t>AVANCE  PARCIAL CAPITULO ETNICO VIGENCIA </a:t>
            </a:r>
            <a:r>
              <a:rPr lang="en-US" sz="1500" b="1" i="0" u="none" strike="noStrike" kern="1200" spc="0" baseline="0">
                <a:solidFill>
                  <a:srgbClr val="000000">
                    <a:lumMod val="65000"/>
                    <a:lumOff val="35000"/>
                  </a:srgbClr>
                </a:solidFill>
                <a:effectLst/>
                <a:latin typeface="+mn-lt"/>
                <a:ea typeface="+mn-ea"/>
                <a:cs typeface="+mn-cs"/>
              </a:rPr>
              <a:t>CORTE  </a:t>
            </a:r>
            <a:r>
              <a:rPr lang="es-ES" sz="1500" b="1" i="0" u="none" strike="noStrike" baseline="0">
                <a:effectLst/>
              </a:rPr>
              <a:t>31 DE DICIEMBRE DE 2025</a:t>
            </a:r>
            <a:endParaRPr lang="es-CO" sz="1500" b="1" i="0" u="none" strike="noStrike" kern="1200" spc="0" baseline="0">
              <a:solidFill>
                <a:srgbClr val="000000">
                  <a:lumMod val="65000"/>
                  <a:lumOff val="35000"/>
                </a:srgbClr>
              </a:solidFill>
              <a:effectLst/>
              <a:latin typeface="+mn-lt"/>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500">
                <a:solidFill>
                  <a:srgbClr val="000000">
                    <a:lumMod val="65000"/>
                    <a:lumOff val="35000"/>
                  </a:srgbClr>
                </a:solidFill>
              </a:defRPr>
            </a:pPr>
            <a:endParaRPr lang="es-CO" sz="15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ETNICO'!$D$61</c:f>
              <c:strCache>
                <c:ptCount val="1"/>
                <c:pt idx="0">
                  <c:v>AVANCE  PARCIAL VIGENCIA  CORTE 31 DE DICIEMBRE DE 2025</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D08E-4BD8-AF81-D6638A8F143B}"/>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D08E-4BD8-AF81-D6638A8F143B}"/>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D08E-4BD8-AF81-D6638A8F143B}"/>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D08E-4BD8-AF81-D6638A8F143B}"/>
              </c:ext>
            </c:extLst>
          </c:dPt>
          <c:dPt>
            <c:idx val="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D08E-4BD8-AF81-D6638A8F143B}"/>
              </c:ext>
            </c:extLst>
          </c:dPt>
          <c:dPt>
            <c:idx val="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B-D08E-4BD8-AF81-D6638A8F143B}"/>
              </c:ext>
            </c:extLst>
          </c:dPt>
          <c:dPt>
            <c:idx val="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D-D08E-4BD8-AF81-D6638A8F143B}"/>
              </c:ext>
            </c:extLst>
          </c:dPt>
          <c:dPt>
            <c:idx val="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F-D08E-4BD8-AF81-D6638A8F143B}"/>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ETNICO'!$C$62:$C$64</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ETNICO'!$D$62:$D$64</c:f>
              <c:numCache>
                <c:formatCode>0.0%</c:formatCode>
                <c:ptCount val="3"/>
                <c:pt idx="0">
                  <c:v>0.87047558922558932</c:v>
                </c:pt>
                <c:pt idx="1">
                  <c:v>0.86391414141414147</c:v>
                </c:pt>
                <c:pt idx="2">
                  <c:v>0.87703703703703706</c:v>
                </c:pt>
              </c:numCache>
            </c:numRef>
          </c:val>
          <c:extLst>
            <c:ext xmlns:c16="http://schemas.microsoft.com/office/drawing/2014/chart" uri="{C3380CC4-5D6E-409C-BE32-E72D297353CC}">
              <c16:uniqueId val="{00000010-D08E-4BD8-AF81-D6638A8F143B}"/>
            </c:ext>
          </c:extLst>
        </c:ser>
        <c:dLbls>
          <c:showLegendKey val="0"/>
          <c:showVal val="0"/>
          <c:showCatName val="0"/>
          <c:showSerName val="0"/>
          <c:showPercent val="0"/>
          <c:showBubbleSize val="0"/>
        </c:dLbls>
        <c:gapWidth val="219"/>
        <c:overlap val="-27"/>
        <c:axId val="456087912"/>
        <c:axId val="456093008"/>
      </c:barChart>
      <c:catAx>
        <c:axId val="456087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56093008"/>
        <c:crosses val="autoZero"/>
        <c:auto val="1"/>
        <c:lblAlgn val="ctr"/>
        <c:lblOffset val="100"/>
        <c:noMultiLvlLbl val="0"/>
      </c:catAx>
      <c:valAx>
        <c:axId val="4560930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5608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 avance: Fortalecimiento al Desarrollo Afro-Territorial de la Población Negra, Afrocolombiana, Raizal y Palenquera. Avance ponderado. Corte 31 de diciembre de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ETNICO'!$D$41</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ETNICO'!$D$42:$D$45</c:f>
              <c:numCache>
                <c:formatCode>0.00%</c:formatCode>
                <c:ptCount val="4"/>
                <c:pt idx="0">
                  <c:v>0.32727939393939398</c:v>
                </c:pt>
                <c:pt idx="1">
                  <c:v>0.29172121212121216</c:v>
                </c:pt>
                <c:pt idx="2">
                  <c:v>0.54249999999999998</c:v>
                </c:pt>
                <c:pt idx="3">
                  <c:v>0.25522727272727275</c:v>
                </c:pt>
              </c:numCache>
            </c:numRef>
          </c:val>
          <c:extLst>
            <c:ext xmlns:c16="http://schemas.microsoft.com/office/drawing/2014/chart" uri="{C3380CC4-5D6E-409C-BE32-E72D297353CC}">
              <c16:uniqueId val="{00000000-5730-495B-9878-03F8C91CE12C}"/>
            </c:ext>
          </c:extLst>
        </c:ser>
        <c:dLbls>
          <c:showLegendKey val="0"/>
          <c:showVal val="0"/>
          <c:showCatName val="0"/>
          <c:showSerName val="0"/>
          <c:showPercent val="0"/>
          <c:showBubbleSize val="0"/>
        </c:dLbls>
        <c:gapWidth val="219"/>
        <c:overlap val="-27"/>
        <c:axId val="456097712"/>
        <c:axId val="456087520"/>
      </c:barChart>
      <c:catAx>
        <c:axId val="45609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7520"/>
        <c:crosses val="autoZero"/>
        <c:auto val="1"/>
        <c:lblAlgn val="ctr"/>
        <c:lblOffset val="100"/>
        <c:noMultiLvlLbl val="0"/>
      </c:catAx>
      <c:valAx>
        <c:axId val="456087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7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Fortalecimiento Institucional e Innovación Administrativa. Avance ponderado corte  31 de diciembre de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ETNICO'!$D$51</c:f>
              <c:strCache>
                <c:ptCount val="1"/>
                <c:pt idx="0">
                  <c:v>AVANCE PONDERADO CORTE 31 DE DICIEMBRE DE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ETNICO'!$D$52:$D$55</c:f>
              <c:numCache>
                <c:formatCode>0.0%</c:formatCode>
                <c:ptCount val="4"/>
                <c:pt idx="0">
                  <c:v>0.33927250000000003</c:v>
                </c:pt>
                <c:pt idx="1">
                  <c:v>0.17684166666666667</c:v>
                </c:pt>
                <c:pt idx="2">
                  <c:v>0.31906666666666667</c:v>
                </c:pt>
                <c:pt idx="3">
                  <c:v>0.47625000000000006</c:v>
                </c:pt>
              </c:numCache>
            </c:numRef>
          </c:val>
          <c:extLst>
            <c:ext xmlns:c16="http://schemas.microsoft.com/office/drawing/2014/chart" uri="{C3380CC4-5D6E-409C-BE32-E72D297353CC}">
              <c16:uniqueId val="{00000000-169F-46A0-B982-F1AA2EBBF0BC}"/>
            </c:ext>
          </c:extLst>
        </c:ser>
        <c:dLbls>
          <c:showLegendKey val="0"/>
          <c:showVal val="0"/>
          <c:showCatName val="0"/>
          <c:showSerName val="0"/>
          <c:showPercent val="0"/>
          <c:showBubbleSize val="0"/>
        </c:dLbls>
        <c:gapWidth val="219"/>
        <c:overlap val="-27"/>
        <c:axId val="456094184"/>
        <c:axId val="456089088"/>
      </c:barChart>
      <c:catAx>
        <c:axId val="456094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9088"/>
        <c:crosses val="autoZero"/>
        <c:auto val="1"/>
        <c:lblAlgn val="ctr"/>
        <c:lblOffset val="100"/>
        <c:noMultiLvlLbl val="0"/>
      </c:catAx>
      <c:valAx>
        <c:axId val="456089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4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FORTALECIMIENTO AL DESARROLLO AFRO-TERRITORIAL DE LA POBLACIÓN NEGRA, AFROCOLOMBIANA, RAIZAL Y PALENQUERA.  </a:t>
            </a:r>
            <a:r>
              <a:rPr lang="en-US" sz="1200"/>
              <a:t>PROGRAMAS</a:t>
            </a:r>
            <a:r>
              <a:rPr lang="en-US" sz="1200" b="1" i="0" u="none" strike="noStrike" kern="1200" spc="0" baseline="0">
                <a:solidFill>
                  <a:srgbClr val="000000">
                    <a:lumMod val="65000"/>
                    <a:lumOff val="35000"/>
                  </a:srgbClr>
                </a:solidFill>
                <a:latin typeface="+mn-lt"/>
                <a:ea typeface="+mn-ea"/>
                <a:cs typeface="+mn-cs"/>
              </a:rPr>
              <a:t>. CORTE </a:t>
            </a:r>
            <a:r>
              <a:rPr lang="es-CO" sz="1200" b="1" i="0" u="none" strike="noStrike" kern="1200" spc="0" baseline="0">
                <a:solidFill>
                  <a:srgbClr val="000000">
                    <a:lumMod val="65000"/>
                    <a:lumOff val="35000"/>
                  </a:srgbClr>
                </a:solidFill>
                <a:latin typeface="+mn-lt"/>
                <a:ea typeface="+mn-ea"/>
                <a:cs typeface="+mn-cs"/>
              </a:rPr>
              <a:t> </a:t>
            </a:r>
            <a:r>
              <a:rPr lang="es-ES" sz="1200" b="1" i="0" u="none" strike="noStrike" baseline="0">
                <a:effectLst/>
              </a:rPr>
              <a:t>31 DE DICIEMBRE DE 2025</a:t>
            </a:r>
            <a:endParaRPr lang="es-CO" sz="12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ETNICO'!$E$41</c:f>
              <c:strCache>
                <c:ptCount val="1"/>
                <c:pt idx="0">
                  <c:v>AVANCE CUATRIENIO IMPULSOR DE AVANCE: FORTALECIMIENTO AL DESARROLLO AFRO-TERRITORIAL DE LA POBLACIÓN NEGRA, AFROCOLOMBIANA, RAIZAL Y PALENQUERA. CORTE 31 DE DICIEMBRE DE 2025</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44B9-4AAB-858C-C23AC5ED01EE}"/>
              </c:ext>
            </c:extLst>
          </c:dPt>
          <c:dPt>
            <c:idx val="1"/>
            <c:invertIfNegative val="0"/>
            <c:bubble3D val="0"/>
            <c:spPr>
              <a:solidFill>
                <a:srgbClr val="FFFF00"/>
              </a:solidFill>
              <a:ln>
                <a:noFill/>
              </a:ln>
              <a:effectLst/>
            </c:spPr>
            <c:extLst>
              <c:ext xmlns:c16="http://schemas.microsoft.com/office/drawing/2014/chart" uri="{C3380CC4-5D6E-409C-BE32-E72D297353CC}">
                <c16:uniqueId val="{00000003-BE1B-4D67-AFB7-79D547AE7DF4}"/>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12E3-4E03-9A6C-163E55A0883D}"/>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6-E560-4029-8BC9-ABC7B4D3BFA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ETNICO'!$E$42:$E$45</c:f>
              <c:numCache>
                <c:formatCode>0.0%</c:formatCode>
                <c:ptCount val="4"/>
                <c:pt idx="0">
                  <c:v>0.35168903318903322</c:v>
                </c:pt>
                <c:pt idx="1">
                  <c:v>0.30019696969696968</c:v>
                </c:pt>
                <c:pt idx="2">
                  <c:v>0.35</c:v>
                </c:pt>
                <c:pt idx="3">
                  <c:v>0.40487012987012988</c:v>
                </c:pt>
              </c:numCache>
            </c:numRef>
          </c:val>
          <c:extLst>
            <c:ext xmlns:c16="http://schemas.microsoft.com/office/drawing/2014/chart" uri="{C3380CC4-5D6E-409C-BE32-E72D297353CC}">
              <c16:uniqueId val="{00000000-44B9-4AAB-858C-C23AC5ED01EE}"/>
            </c:ext>
          </c:extLst>
        </c:ser>
        <c:dLbls>
          <c:showLegendKey val="0"/>
          <c:showVal val="0"/>
          <c:showCatName val="0"/>
          <c:showSerName val="0"/>
          <c:showPercent val="0"/>
          <c:showBubbleSize val="0"/>
        </c:dLbls>
        <c:gapWidth val="219"/>
        <c:overlap val="-27"/>
        <c:axId val="456085952"/>
        <c:axId val="456086344"/>
      </c:barChart>
      <c:catAx>
        <c:axId val="45608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6344"/>
        <c:crosses val="autoZero"/>
        <c:auto val="1"/>
        <c:lblAlgn val="ctr"/>
        <c:lblOffset val="100"/>
        <c:noMultiLvlLbl val="0"/>
      </c:catAx>
      <c:valAx>
        <c:axId val="456086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a:t>AVANCE CUATRIENIO COMPONENTE IMPULSOR SEGURIDAD CIUDADANA Y ORDEN PÚBLICO.</a:t>
            </a:r>
            <a:r>
              <a:rPr lang="en-US" sz="1600" baseline="0"/>
              <a:t> PROGRAMAS.</a:t>
            </a:r>
            <a:r>
              <a:rPr lang="en-US" sz="1600"/>
              <a:t> </a:t>
            </a:r>
            <a:r>
              <a:rPr lang="en-US" sz="1600" b="1" i="0" u="none" strike="noStrike" kern="1200" spc="0" baseline="0">
                <a:solidFill>
                  <a:srgbClr val="000000">
                    <a:lumMod val="65000"/>
                    <a:lumOff val="35000"/>
                  </a:srgbClr>
                </a:solidFill>
                <a:latin typeface="+mn-lt"/>
                <a:ea typeface="+mn-ea"/>
                <a:cs typeface="+mn-cs"/>
              </a:rPr>
              <a:t>CORTE </a:t>
            </a:r>
            <a:r>
              <a:rPr lang="es-CO" sz="1600" b="1" i="0" u="none" strike="noStrike" kern="1200" spc="0" baseline="0">
                <a:solidFill>
                  <a:srgbClr val="000000">
                    <a:lumMod val="65000"/>
                    <a:lumOff val="35000"/>
                  </a:srgbClr>
                </a:solidFill>
                <a:latin typeface="+mn-lt"/>
                <a:ea typeface="+mn-ea"/>
                <a:cs typeface="+mn-cs"/>
              </a:rPr>
              <a:t> 31 DE DICIEMBRE 2025</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7626403025454091E-2"/>
          <c:y val="0.13902812969092279"/>
          <c:w val="0.96420652188591971"/>
          <c:h val="0.69604346992630561"/>
        </c:manualLayout>
      </c:layout>
      <c:barChart>
        <c:barDir val="col"/>
        <c:grouping val="clustered"/>
        <c:varyColors val="0"/>
        <c:ser>
          <c:idx val="0"/>
          <c:order val="0"/>
          <c:tx>
            <c:strRef>
              <c:f>'GRAFICAS SEGURIDAD HUMANA'!$E$31</c:f>
              <c:strCache>
                <c:ptCount val="1"/>
                <c:pt idx="0">
                  <c:v>AVANCE CUATRIENIO COMPONENTE IMPULSOR SEGURIDAD CIUDADANA Y ORDEN PÚBLICO  CORTE  31 DE DICIEMBRE DE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2-EB02-4835-B231-E773302B08F3}"/>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C-4F92-49D6-A3B7-7B633E2924A7}"/>
              </c:ext>
            </c:extLst>
          </c:dPt>
          <c:dPt>
            <c:idx val="2"/>
            <c:invertIfNegative val="0"/>
            <c:bubble3D val="0"/>
            <c:spPr>
              <a:solidFill>
                <a:srgbClr val="00B050"/>
              </a:solidFill>
              <a:ln>
                <a:noFill/>
              </a:ln>
              <a:effectLst/>
            </c:spPr>
            <c:extLst>
              <c:ext xmlns:c16="http://schemas.microsoft.com/office/drawing/2014/chart" uri="{C3380CC4-5D6E-409C-BE32-E72D297353CC}">
                <c16:uniqueId val="{00000007-E80F-40A1-8607-EC5039BC63C9}"/>
              </c:ext>
            </c:extLst>
          </c:dPt>
          <c:dPt>
            <c:idx val="3"/>
            <c:invertIfNegative val="0"/>
            <c:bubble3D val="0"/>
            <c:spPr>
              <a:solidFill>
                <a:srgbClr val="00B050"/>
              </a:solidFill>
              <a:ln>
                <a:noFill/>
              </a:ln>
              <a:effectLst/>
            </c:spPr>
            <c:extLst>
              <c:ext xmlns:c16="http://schemas.microsoft.com/office/drawing/2014/chart" uri="{C3380CC4-5D6E-409C-BE32-E72D297353CC}">
                <c16:uniqueId val="{00000005-D297-4E27-B366-2A166E20B44A}"/>
              </c:ext>
            </c:extLst>
          </c:dPt>
          <c:dPt>
            <c:idx val="4"/>
            <c:invertIfNegative val="0"/>
            <c:bubble3D val="0"/>
            <c:spPr>
              <a:solidFill>
                <a:srgbClr val="00B050"/>
              </a:solidFill>
              <a:ln>
                <a:noFill/>
              </a:ln>
              <a:effectLst/>
            </c:spPr>
            <c:extLst>
              <c:ext xmlns:c16="http://schemas.microsoft.com/office/drawing/2014/chart" uri="{C3380CC4-5D6E-409C-BE32-E72D297353CC}">
                <c16:uniqueId val="{00000008-E80F-40A1-8607-EC5039BC63C9}"/>
              </c:ext>
            </c:extLst>
          </c:dPt>
          <c:dPt>
            <c:idx val="5"/>
            <c:invertIfNegative val="0"/>
            <c:bubble3D val="0"/>
            <c:spPr>
              <a:solidFill>
                <a:srgbClr val="00B050"/>
              </a:solidFill>
              <a:ln>
                <a:noFill/>
              </a:ln>
              <a:effectLst/>
            </c:spPr>
            <c:extLst>
              <c:ext xmlns:c16="http://schemas.microsoft.com/office/drawing/2014/chart" uri="{C3380CC4-5D6E-409C-BE32-E72D297353CC}">
                <c16:uniqueId val="{00000005-5377-4A02-A8E8-88F3984DE62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HUMANA'!$E$32:$E$37</c:f>
              <c:numCache>
                <c:formatCode>0.0%</c:formatCode>
                <c:ptCount val="6"/>
                <c:pt idx="0">
                  <c:v>0.64063194152581171</c:v>
                </c:pt>
                <c:pt idx="1">
                  <c:v>0.41</c:v>
                </c:pt>
                <c:pt idx="2">
                  <c:v>0.66666666666666663</c:v>
                </c:pt>
                <c:pt idx="3">
                  <c:v>0.70675054096239232</c:v>
                </c:pt>
                <c:pt idx="4">
                  <c:v>0.75</c:v>
                </c:pt>
                <c:pt idx="5">
                  <c:v>0.66974250000000002</c:v>
                </c:pt>
              </c:numCache>
            </c:numRef>
          </c:val>
          <c:extLst>
            <c:ext xmlns:c16="http://schemas.microsoft.com/office/drawing/2014/chart" uri="{C3380CC4-5D6E-409C-BE32-E72D297353CC}">
              <c16:uniqueId val="{00000000-EB02-4835-B231-E773302B08F3}"/>
            </c:ext>
          </c:extLst>
        </c:ser>
        <c:dLbls>
          <c:showLegendKey val="0"/>
          <c:showVal val="0"/>
          <c:showCatName val="0"/>
          <c:showSerName val="0"/>
          <c:showPercent val="0"/>
          <c:showBubbleSize val="0"/>
        </c:dLbls>
        <c:gapWidth val="219"/>
        <c:overlap val="-27"/>
        <c:axId val="428039432"/>
        <c:axId val="428037080"/>
      </c:barChart>
      <c:catAx>
        <c:axId val="428039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28037080"/>
        <c:crosses val="autoZero"/>
        <c:auto val="1"/>
        <c:lblAlgn val="ctr"/>
        <c:lblOffset val="100"/>
        <c:noMultiLvlLbl val="0"/>
      </c:catAx>
      <c:valAx>
        <c:axId val="428037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039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ETNICO'!$E$51</c:f>
              <c:strCache>
                <c:ptCount val="1"/>
                <c:pt idx="0">
                  <c:v>AVANCE CUATRIENIO IMPULSOR DE AVANCE: TERRITORIO SITIO DE PAZ Y PENSAMIENTO COLECTIVO. CORTE 31 DE DICIEMBRE DE 2025</c:v>
                </c:pt>
              </c:strCache>
            </c:strRef>
          </c:tx>
          <c:spPr>
            <a:solidFill>
              <a:schemeClr val="accent6">
                <a:lumMod val="60000"/>
                <a:lumOff val="40000"/>
              </a:schemeClr>
            </a:solidFill>
            <a:ln>
              <a:noFill/>
            </a:ln>
            <a:effectLst/>
          </c:spPr>
          <c:invertIfNegative val="0"/>
          <c:dPt>
            <c:idx val="1"/>
            <c:invertIfNegative val="0"/>
            <c:bubble3D val="0"/>
            <c:spPr>
              <a:solidFill>
                <a:srgbClr val="FFFF00"/>
              </a:solidFill>
              <a:ln>
                <a:noFill/>
              </a:ln>
              <a:effectLst/>
            </c:spPr>
            <c:extLst>
              <c:ext xmlns:c16="http://schemas.microsoft.com/office/drawing/2014/chart" uri="{C3380CC4-5D6E-409C-BE32-E72D297353CC}">
                <c16:uniqueId val="{00000008-07EB-4A05-B07F-295B3CF199E0}"/>
              </c:ext>
            </c:extLst>
          </c:dPt>
          <c:dPt>
            <c:idx val="3"/>
            <c:invertIfNegative val="0"/>
            <c:bubble3D val="0"/>
            <c:spPr>
              <a:solidFill>
                <a:srgbClr val="00B050"/>
              </a:solidFill>
              <a:ln>
                <a:noFill/>
              </a:ln>
              <a:effectLst/>
            </c:spPr>
            <c:extLst>
              <c:ext xmlns:c16="http://schemas.microsoft.com/office/drawing/2014/chart" uri="{C3380CC4-5D6E-409C-BE32-E72D297353CC}">
                <c16:uniqueId val="{00000003-6579-41AF-9350-2A6130FB9E2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ETNICO'!$E$52:$E$55</c:f>
              <c:numCache>
                <c:formatCode>0.0%</c:formatCode>
                <c:ptCount val="4"/>
                <c:pt idx="0">
                  <c:v>0.37216203703703704</c:v>
                </c:pt>
                <c:pt idx="1">
                  <c:v>0.31381944444444443</c:v>
                </c:pt>
                <c:pt idx="2">
                  <c:v>0.33566666666666661</c:v>
                </c:pt>
                <c:pt idx="3">
                  <c:v>0.46699999999999997</c:v>
                </c:pt>
              </c:numCache>
            </c:numRef>
          </c:val>
          <c:extLst>
            <c:ext xmlns:c16="http://schemas.microsoft.com/office/drawing/2014/chart" uri="{C3380CC4-5D6E-409C-BE32-E72D297353CC}">
              <c16:uniqueId val="{00000000-EB71-48E6-8DC4-3BA42952AD2C}"/>
            </c:ext>
          </c:extLst>
        </c:ser>
        <c:dLbls>
          <c:showLegendKey val="0"/>
          <c:showVal val="0"/>
          <c:showCatName val="0"/>
          <c:showSerName val="0"/>
          <c:showPercent val="0"/>
          <c:showBubbleSize val="0"/>
        </c:dLbls>
        <c:gapWidth val="219"/>
        <c:overlap val="-27"/>
        <c:axId val="456088304"/>
        <c:axId val="456089480"/>
      </c:barChart>
      <c:catAx>
        <c:axId val="45608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56089480"/>
        <c:crosses val="autoZero"/>
        <c:auto val="1"/>
        <c:lblAlgn val="ctr"/>
        <c:lblOffset val="100"/>
        <c:noMultiLvlLbl val="0"/>
      </c:catAx>
      <c:valAx>
        <c:axId val="456089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PARCIAL CAPÍTULO DE LOS PUEBLOS </a:t>
            </a:r>
            <a:r>
              <a:rPr lang="es-CO" sz="1400" b="1" i="0" u="none" strike="noStrike" kern="1200" spc="0" baseline="0">
                <a:solidFill>
                  <a:srgbClr val="000000">
                    <a:lumMod val="65000"/>
                    <a:lumOff val="35000"/>
                  </a:srgbClr>
                </a:solidFill>
                <a:latin typeface="+mn-lt"/>
                <a:ea typeface="+mn-ea"/>
                <a:cs typeface="+mn-cs"/>
              </a:rPr>
              <a:t>Y COMUNIDADES ÉTNICAS.</a:t>
            </a:r>
          </a:p>
          <a:p>
            <a:pPr>
              <a:defRPr/>
            </a:pPr>
            <a:r>
              <a:rPr lang="es-CO" sz="1400" b="1" i="0" u="none" strike="noStrike" kern="1200" spc="0" baseline="0">
                <a:solidFill>
                  <a:srgbClr val="000000">
                    <a:lumMod val="65000"/>
                    <a:lumOff val="35000"/>
                  </a:srgbClr>
                </a:solidFill>
                <a:latin typeface="+mn-lt"/>
                <a:ea typeface="+mn-ea"/>
                <a:cs typeface="+mn-cs"/>
              </a:rPr>
              <a:t>VIGENCIA. COMPARATIVO DICIEMBRE 2024 -  </a:t>
            </a:r>
            <a:r>
              <a:rPr lang="es-ES" sz="1400" b="1" i="0" u="none" strike="noStrike" baseline="0">
                <a:effectLst/>
              </a:rPr>
              <a:t>31 DE DICIEMBRE DE 2025</a:t>
            </a:r>
            <a:endParaRPr lang="es-CO" sz="14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2025</c:v>
                </c:pt>
              </c:strCache>
            </c:strRef>
          </c:tx>
          <c:spPr>
            <a:solidFill>
              <a:schemeClr val="accent1"/>
            </a:solidFill>
            <a:ln>
              <a:noFill/>
            </a:ln>
            <a:effectLst/>
          </c:spPr>
          <c:invertIfNegative val="0"/>
          <c:dPt>
            <c:idx val="0"/>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6-03F0-45E6-A96E-78083860E09B}"/>
              </c:ext>
            </c:extLst>
          </c:dPt>
          <c:dPt>
            <c:idx val="1"/>
            <c:invertIfNegative val="0"/>
            <c:bubble3D val="0"/>
            <c:spPr>
              <a:solidFill>
                <a:schemeClr val="tx2">
                  <a:lumMod val="65000"/>
                  <a:lumOff val="35000"/>
                </a:schemeClr>
              </a:solidFill>
              <a:ln>
                <a:noFill/>
              </a:ln>
              <a:effectLst/>
            </c:spPr>
            <c:extLst>
              <c:ext xmlns:c16="http://schemas.microsoft.com/office/drawing/2014/chart" uri="{C3380CC4-5D6E-409C-BE32-E72D297353CC}">
                <c16:uniqueId val="{0000000F-CAB7-4762-B61F-35D0AF6A42E2}"/>
              </c:ext>
            </c:extLst>
          </c:dPt>
          <c:dPt>
            <c:idx val="2"/>
            <c:invertIfNegative val="0"/>
            <c:bubble3D val="0"/>
            <c:spPr>
              <a:solidFill>
                <a:schemeClr val="tx2">
                  <a:lumMod val="65000"/>
                  <a:lumOff val="35000"/>
                </a:schemeClr>
              </a:solidFill>
              <a:ln>
                <a:noFill/>
              </a:ln>
              <a:effectLst/>
            </c:spPr>
            <c:extLst>
              <c:ext xmlns:c16="http://schemas.microsoft.com/office/drawing/2014/chart" uri="{C3380CC4-5D6E-409C-BE32-E72D297353CC}">
                <c16:uniqueId val="{00000010-CAB7-4762-B61F-35D0AF6A42E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0.31880731922398586</c:v>
                </c:pt>
                <c:pt idx="1">
                  <c:v>0.28329365079365076</c:v>
                </c:pt>
                <c:pt idx="2">
                  <c:v>0.35432098765432096</c:v>
                </c:pt>
              </c:numCache>
            </c:numRef>
          </c:val>
          <c:extLst>
            <c:ext xmlns:c16="http://schemas.microsoft.com/office/drawing/2014/chart" uri="{C3380CC4-5D6E-409C-BE32-E72D297353CC}">
              <c16:uniqueId val="{00000000-03F0-45E6-A96E-78083860E09B}"/>
            </c:ext>
          </c:extLst>
        </c:ser>
        <c:ser>
          <c:idx val="1"/>
          <c:order val="1"/>
          <c:tx>
            <c:strRef>
              <c:f>'GRAFICAS CAPITULO ETNICO'!$E$4</c:f>
              <c:strCache>
                <c:ptCount val="1"/>
                <c:pt idx="0">
                  <c:v>LOGRO VIGENCIA  CORTE 31 DE DICIEMBRE DE 2025 RESPECTO AL CUATRIENIO</c:v>
                </c:pt>
              </c:strCache>
            </c:strRef>
          </c:tx>
          <c:spPr>
            <a:solidFill>
              <a:schemeClr val="accent6">
                <a:lumMod val="60000"/>
                <a:lumOff val="4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BF79-4E1C-B77F-4DD86D0E1F29}"/>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2-1DC9-4D70-B729-197BE5476725}"/>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B-CAB7-4762-B61F-35D0AF6A42E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0.36192553511303516</c:v>
                </c:pt>
                <c:pt idx="1">
                  <c:v>0.35168903318903322</c:v>
                </c:pt>
                <c:pt idx="2">
                  <c:v>0.37216203703703704</c:v>
                </c:pt>
              </c:numCache>
            </c:numRef>
          </c:val>
          <c:extLst>
            <c:ext xmlns:c16="http://schemas.microsoft.com/office/drawing/2014/chart" uri="{C3380CC4-5D6E-409C-BE32-E72D297353CC}">
              <c16:uniqueId val="{00000001-03F0-45E6-A96E-78083860E09B}"/>
            </c:ext>
          </c:extLst>
        </c:ser>
        <c:ser>
          <c:idx val="2"/>
          <c:order val="2"/>
          <c:tx>
            <c:strRef>
              <c:f>'GRAFICAS CAPITULO ETNICO'!$F$4</c:f>
              <c:strCache>
                <c:ptCount val="1"/>
                <c:pt idx="0">
                  <c:v>LOGRO VIGENCIA  CORTE DICIEMBRE  2024 RESPECTO AL CUATRIENIO</c:v>
                </c:pt>
              </c:strCache>
            </c:strRef>
          </c:tx>
          <c:spPr>
            <a:solidFill>
              <a:srgbClr val="7030A0"/>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2-BF80-477C-B605-0AA4E39DB9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ETNICO'!$F$5:$F$7</c:f>
              <c:numCache>
                <c:formatCode>0.0%</c:formatCode>
                <c:ptCount val="3"/>
                <c:pt idx="0">
                  <c:v>5.5588624338624326E-2</c:v>
                </c:pt>
                <c:pt idx="1">
                  <c:v>6.4880952380952372E-2</c:v>
                </c:pt>
                <c:pt idx="2">
                  <c:v>4.6296296296296287E-2</c:v>
                </c:pt>
              </c:numCache>
            </c:numRef>
          </c:val>
          <c:extLst>
            <c:ext xmlns:c16="http://schemas.microsoft.com/office/drawing/2014/chart" uri="{C3380CC4-5D6E-409C-BE32-E72D297353CC}">
              <c16:uniqueId val="{00000002-03F0-45E6-A96E-78083860E09B}"/>
            </c:ext>
          </c:extLst>
        </c:ser>
        <c:dLbls>
          <c:showLegendKey val="0"/>
          <c:showVal val="0"/>
          <c:showCatName val="0"/>
          <c:showSerName val="0"/>
          <c:showPercent val="0"/>
          <c:showBubbleSize val="0"/>
        </c:dLbls>
        <c:gapWidth val="219"/>
        <c:overlap val="-27"/>
        <c:axId val="456098496"/>
        <c:axId val="456101240"/>
      </c:barChart>
      <c:catAx>
        <c:axId val="45609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56101240"/>
        <c:crosses val="autoZero"/>
        <c:auto val="1"/>
        <c:lblAlgn val="ctr"/>
        <c:lblOffset val="100"/>
        <c:noMultiLvlLbl val="0"/>
      </c:catAx>
      <c:valAx>
        <c:axId val="456101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8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t>AVANCE ESPERADO ACUMULADO CUATRIENIO 2024 - 2025. PLAN DE DESARROLLO. ANTES Y DEPUÉS</a:t>
            </a:r>
            <a:r>
              <a:rPr lang="es-CO" sz="2000" b="1" baseline="0"/>
              <a:t> DE REPROGRAMACIÓN</a:t>
            </a:r>
            <a:r>
              <a:rPr lang="es-CO" sz="2500" baseline="0"/>
              <a:t>.</a:t>
            </a:r>
            <a:endParaRPr lang="es-CO" sz="25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5147273257509479E-2"/>
          <c:y val="0.1067710933092979"/>
          <c:w val="0.95858492047468424"/>
          <c:h val="0.56849630505474991"/>
        </c:manualLayout>
      </c:layout>
      <c:bar3DChart>
        <c:barDir val="col"/>
        <c:grouping val="clustered"/>
        <c:varyColors val="0"/>
        <c:ser>
          <c:idx val="0"/>
          <c:order val="0"/>
          <c:tx>
            <c:strRef>
              <c:f>'REPROGRAMACIÓN - GRAFICAS'!$D$3</c:f>
              <c:strCache>
                <c:ptCount val="1"/>
                <c:pt idx="0">
                  <c:v>AVANCE ESPERADO ACUMULADO CUATRIENIO 2024 - 2025 (LUEGO DE REPROGRAMACIÓN). CORTE DICIEMBRE 2025</c:v>
                </c:pt>
              </c:strCache>
            </c:strRef>
          </c:tx>
          <c:spPr>
            <a:solidFill>
              <a:schemeClr val="accent6">
                <a:lumMod val="60000"/>
                <a:lumOff val="40000"/>
              </a:schemeClr>
            </a:solidFill>
            <a:ln>
              <a:noFill/>
            </a:ln>
            <a:effectLst/>
            <a:sp3d/>
          </c:spPr>
          <c:invertIfNegative val="0"/>
          <c:dLbls>
            <c:dLbl>
              <c:idx val="0"/>
              <c:layout>
                <c:manualLayout>
                  <c:x val="-1.7094017094017094E-3"/>
                  <c:y val="7.94148293233909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98-4903-B8FE-70BE86142B27}"/>
                </c:ext>
              </c:extLst>
            </c:dLbl>
            <c:dLbl>
              <c:idx val="1"/>
              <c:layout>
                <c:manualLayout>
                  <c:x val="0"/>
                  <c:y val="0.104493196478145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98-4903-B8FE-70BE86142B27}"/>
                </c:ext>
              </c:extLst>
            </c:dLbl>
            <c:dLbl>
              <c:idx val="2"/>
              <c:layout>
                <c:manualLayout>
                  <c:x val="-8.3569784832131234E-17"/>
                  <c:y val="6.5482403126304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98-4903-B8FE-70BE86142B27}"/>
                </c:ext>
              </c:extLst>
            </c:dLbl>
            <c:dLbl>
              <c:idx val="3"/>
              <c:layout>
                <c:manualLayout>
                  <c:x val="-1.7094017094017929E-3"/>
                  <c:y val="7.1055373605139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98-4903-B8FE-70BE86142B27}"/>
                </c:ext>
              </c:extLst>
            </c:dLbl>
            <c:dLbl>
              <c:idx val="4"/>
              <c:layout>
                <c:manualLayout>
                  <c:x val="-5.6980056980056976E-4"/>
                  <c:y val="5.5729704788344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98-4903-B8FE-70BE86142B27}"/>
                </c:ext>
              </c:extLst>
            </c:dLbl>
            <c:dLbl>
              <c:idx val="5"/>
              <c:layout>
                <c:manualLayout>
                  <c:x val="-5.6980056980065336E-4"/>
                  <c:y val="7.662834408397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98-4903-B8FE-70BE86142B27}"/>
                </c:ext>
              </c:extLst>
            </c:dLbl>
            <c:dLbl>
              <c:idx val="6"/>
              <c:layout>
                <c:manualLayout>
                  <c:x val="-5.6980056980056976E-4"/>
                  <c:y val="6.4089160506596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98-4903-B8FE-70BE86142B27}"/>
                </c:ext>
              </c:extLst>
            </c:dLbl>
            <c:spPr>
              <a:noFill/>
              <a:ln>
                <a:noFill/>
              </a:ln>
              <a:effectLst/>
            </c:spPr>
            <c:txPr>
              <a:bodyPr rot="0" spcFirstLastPara="1" vertOverflow="ellipsis" vert="horz" wrap="square" lIns="38100" tIns="19050" rIns="38100" bIns="19050" anchor="ctr" anchorCtr="1">
                <a:spAutoFit/>
              </a:bodyPr>
              <a:lstStyle/>
              <a:p>
                <a:pPr>
                  <a:defRPr sz="2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'REPROGRAMACIÓN - GRAFICAS'!$C$4:$C$10</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'REPROGRAMACIÓN - GRAFICAS'!$D$4:$D$10</c:f>
              <c:numCache>
                <c:formatCode>0.00%</c:formatCode>
                <c:ptCount val="7"/>
                <c:pt idx="0">
                  <c:v>0.49456039128851637</c:v>
                </c:pt>
                <c:pt idx="1">
                  <c:v>0.62864059258648508</c:v>
                </c:pt>
                <c:pt idx="2">
                  <c:v>0.52261573838975106</c:v>
                </c:pt>
                <c:pt idx="3">
                  <c:v>0.5453371327856642</c:v>
                </c:pt>
                <c:pt idx="4">
                  <c:v>0.45227036521371067</c:v>
                </c:pt>
                <c:pt idx="5">
                  <c:v>0.49982398409907869</c:v>
                </c:pt>
                <c:pt idx="6">
                  <c:v>0.31880731922398586</c:v>
                </c:pt>
              </c:numCache>
            </c:numRef>
          </c:val>
          <c:extLst>
            <c:ext xmlns:c16="http://schemas.microsoft.com/office/drawing/2014/chart" uri="{C3380CC4-5D6E-409C-BE32-E72D297353CC}">
              <c16:uniqueId val="{00000000-1D98-4903-B8FE-70BE86142B27}"/>
            </c:ext>
          </c:extLst>
        </c:ser>
        <c:ser>
          <c:idx val="1"/>
          <c:order val="1"/>
          <c:tx>
            <c:strRef>
              <c:f>'REPROGRAMACIÓN - GRAFICAS'!$E$3</c:f>
              <c:strCache>
                <c:ptCount val="1"/>
                <c:pt idx="0">
                  <c:v>AVANCE ESPERADO ACUMULADO CUATRIENIO 2024 - 2025 (INICIAL). CORTE DICIEMBRE 2025</c:v>
                </c:pt>
              </c:strCache>
            </c:strRef>
          </c:tx>
          <c:spPr>
            <a:solidFill>
              <a:schemeClr val="accent2"/>
            </a:solidFill>
            <a:ln>
              <a:noFill/>
            </a:ln>
            <a:effectLst/>
            <a:sp3d/>
          </c:spPr>
          <c:invertIfNegative val="0"/>
          <c:dLbls>
            <c:dLbl>
              <c:idx val="0"/>
              <c:layout>
                <c:manualLayout>
                  <c:x val="1.7094017094017094E-3"/>
                  <c:y val="4.7370249070092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98-4903-B8FE-70BE86142B27}"/>
                </c:ext>
              </c:extLst>
            </c:dLbl>
            <c:dLbl>
              <c:idx val="1"/>
              <c:layout>
                <c:manualLayout>
                  <c:x val="0"/>
                  <c:y val="0.14211074721027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98-4903-B8FE-70BE86142B27}"/>
                </c:ext>
              </c:extLst>
            </c:dLbl>
            <c:dLbl>
              <c:idx val="2"/>
              <c:layout>
                <c:manualLayout>
                  <c:x val="2.2792022792022791E-3"/>
                  <c:y val="3.9010793351841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98-4903-B8FE-70BE86142B27}"/>
                </c:ext>
              </c:extLst>
            </c:dLbl>
            <c:dLbl>
              <c:idx val="3"/>
              <c:layout>
                <c:manualLayout>
                  <c:x val="3.4188034188034188E-3"/>
                  <c:y val="5.5729704788344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98-4903-B8FE-70BE86142B27}"/>
                </c:ext>
              </c:extLst>
            </c:dLbl>
            <c:dLbl>
              <c:idx val="4"/>
              <c:layout>
                <c:manualLayout>
                  <c:x val="5.6980056980056976E-4"/>
                  <c:y val="3.4831065492715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98-4903-B8FE-70BE86142B27}"/>
                </c:ext>
              </c:extLst>
            </c:dLbl>
            <c:dLbl>
              <c:idx val="5"/>
              <c:layout>
                <c:manualLayout>
                  <c:x val="2.2792022792021121E-3"/>
                  <c:y val="0.100313468619020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98-4903-B8FE-70BE86142B27}"/>
                </c:ext>
              </c:extLst>
            </c:dLbl>
            <c:dLbl>
              <c:idx val="6"/>
              <c:layout>
                <c:manualLayout>
                  <c:x val="5.6980056980056976E-4"/>
                  <c:y val="3.483106549271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98-4903-B8FE-70BE86142B27}"/>
                </c:ext>
              </c:extLst>
            </c:dLbl>
            <c:spPr>
              <a:noFill/>
              <a:ln>
                <a:noFill/>
              </a:ln>
              <a:effectLst/>
            </c:spPr>
            <c:txPr>
              <a:bodyPr rot="0" spcFirstLastPara="1" vertOverflow="ellipsis" vert="horz" wrap="square" lIns="38100" tIns="19050" rIns="38100" bIns="19050" anchor="ctr" anchorCtr="1">
                <a:spAutoFit/>
              </a:bodyPr>
              <a:lstStyle/>
              <a:p>
                <a:pPr>
                  <a:defRPr sz="2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'REPROGRAMACIÓN - GRAFICAS'!$C$4:$C$10</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'REPROGRAMACIÓN - GRAFICAS'!$E$4:$E$10</c:f>
              <c:numCache>
                <c:formatCode>0.00%</c:formatCode>
                <c:ptCount val="7"/>
                <c:pt idx="0">
                  <c:v>0.5020023857457443</c:v>
                </c:pt>
                <c:pt idx="1">
                  <c:v>0.61218984525965447</c:v>
                </c:pt>
                <c:pt idx="2">
                  <c:v>0.54684174372440431</c:v>
                </c:pt>
                <c:pt idx="3">
                  <c:v>0.57077618047162071</c:v>
                </c:pt>
                <c:pt idx="4">
                  <c:v>0.45762029306363849</c:v>
                </c:pt>
                <c:pt idx="5">
                  <c:v>0.49805847417737026</c:v>
                </c:pt>
                <c:pt idx="6">
                  <c:v>0.32652777777777775</c:v>
                </c:pt>
              </c:numCache>
            </c:numRef>
          </c:val>
          <c:extLst>
            <c:ext xmlns:c16="http://schemas.microsoft.com/office/drawing/2014/chart" uri="{C3380CC4-5D6E-409C-BE32-E72D297353CC}">
              <c16:uniqueId val="{00000001-1D98-4903-B8FE-70BE86142B27}"/>
            </c:ext>
          </c:extLst>
        </c:ser>
        <c:dLbls>
          <c:showLegendKey val="0"/>
          <c:showVal val="0"/>
          <c:showCatName val="0"/>
          <c:showSerName val="0"/>
          <c:showPercent val="0"/>
          <c:showBubbleSize val="0"/>
        </c:dLbls>
        <c:gapWidth val="150"/>
        <c:shape val="box"/>
        <c:axId val="920953087"/>
        <c:axId val="920945599"/>
        <c:axId val="0"/>
      </c:bar3DChart>
      <c:catAx>
        <c:axId val="9209530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20945599"/>
        <c:crosses val="autoZero"/>
        <c:auto val="1"/>
        <c:lblAlgn val="ctr"/>
        <c:lblOffset val="100"/>
        <c:noMultiLvlLbl val="0"/>
      </c:catAx>
      <c:valAx>
        <c:axId val="92094559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2095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2" Type="http://schemas.openxmlformats.org/officeDocument/2006/relationships/chart" Target="../charts/chart37.xml"/><Relationship Id="rId16" Type="http://schemas.openxmlformats.org/officeDocument/2006/relationships/chart" Target="../charts/chart51.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5" Type="http://schemas.openxmlformats.org/officeDocument/2006/relationships/chart" Target="../charts/chart5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2.xml"/></Relationships>
</file>

<file path=xl/drawings/drawing1.xml><?xml version="1.0" encoding="utf-8"?>
<xdr:wsDr xmlns:xdr="http://schemas.openxmlformats.org/drawingml/2006/spreadsheetDrawing" xmlns:a="http://schemas.openxmlformats.org/drawingml/2006/main">
  <xdr:twoCellAnchor>
    <xdr:from>
      <xdr:col>13</xdr:col>
      <xdr:colOff>438150</xdr:colOff>
      <xdr:row>9</xdr:row>
      <xdr:rowOff>682625</xdr:rowOff>
    </xdr:from>
    <xdr:to>
      <xdr:col>23</xdr:col>
      <xdr:colOff>323850</xdr:colOff>
      <xdr:row>62</xdr:row>
      <xdr:rowOff>50800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4495800</xdr:colOff>
      <xdr:row>9</xdr:row>
      <xdr:rowOff>774700</xdr:rowOff>
    </xdr:from>
    <xdr:to>
      <xdr:col>12</xdr:col>
      <xdr:colOff>2438400</xdr:colOff>
      <xdr:row>63</xdr:row>
      <xdr:rowOff>0</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3505200</xdr:colOff>
      <xdr:row>67</xdr:row>
      <xdr:rowOff>63500</xdr:rowOff>
    </xdr:from>
    <xdr:to>
      <xdr:col>12</xdr:col>
      <xdr:colOff>2997200</xdr:colOff>
      <xdr:row>134</xdr:row>
      <xdr:rowOff>114300</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736600</xdr:colOff>
      <xdr:row>66</xdr:row>
      <xdr:rowOff>127000</xdr:rowOff>
    </xdr:from>
    <xdr:to>
      <xdr:col>24</xdr:col>
      <xdr:colOff>812800</xdr:colOff>
      <xdr:row>122</xdr:row>
      <xdr:rowOff>127000</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1447800</xdr:colOff>
      <xdr:row>4</xdr:row>
      <xdr:rowOff>742950</xdr:rowOff>
    </xdr:from>
    <xdr:to>
      <xdr:col>55</xdr:col>
      <xdr:colOff>0</xdr:colOff>
      <xdr:row>36</xdr:row>
      <xdr:rowOff>114300</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1143000</xdr:colOff>
      <xdr:row>21</xdr:row>
      <xdr:rowOff>77470</xdr:rowOff>
    </xdr:from>
    <xdr:to>
      <xdr:col>10</xdr:col>
      <xdr:colOff>518160</xdr:colOff>
      <xdr:row>42</xdr:row>
      <xdr:rowOff>30480</xdr:rowOff>
    </xdr:to>
    <xdr:graphicFrame macro="">
      <xdr:nvGraphicFramePr>
        <xdr:cNvPr id="10" name="Gráfico 9">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324939</xdr:colOff>
      <xdr:row>0</xdr:row>
      <xdr:rowOff>0</xdr:rowOff>
    </xdr:from>
    <xdr:to>
      <xdr:col>37</xdr:col>
      <xdr:colOff>136616</xdr:colOff>
      <xdr:row>13</xdr:row>
      <xdr:rowOff>93073</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2301603</xdr:colOff>
      <xdr:row>92</xdr:row>
      <xdr:rowOff>113392</xdr:rowOff>
    </xdr:from>
    <xdr:to>
      <xdr:col>10</xdr:col>
      <xdr:colOff>1148623</xdr:colOff>
      <xdr:row>110</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114300</xdr:colOff>
      <xdr:row>10</xdr:row>
      <xdr:rowOff>97791</xdr:rowOff>
    </xdr:from>
    <xdr:to>
      <xdr:col>23</xdr:col>
      <xdr:colOff>733514</xdr:colOff>
      <xdr:row>34</xdr:row>
      <xdr:rowOff>60599</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127362</xdr:colOff>
      <xdr:row>35</xdr:row>
      <xdr:rowOff>62048</xdr:rowOff>
    </xdr:from>
    <xdr:to>
      <xdr:col>24</xdr:col>
      <xdr:colOff>62956</xdr:colOff>
      <xdr:row>52</xdr:row>
      <xdr:rowOff>168910</xdr:rowOff>
    </xdr:to>
    <xdr:graphicFrame macro="">
      <xdr:nvGraphicFramePr>
        <xdr:cNvPr id="9" name="Gráfico 8">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142963</xdr:colOff>
      <xdr:row>52</xdr:row>
      <xdr:rowOff>281941</xdr:rowOff>
    </xdr:from>
    <xdr:to>
      <xdr:col>24</xdr:col>
      <xdr:colOff>162016</xdr:colOff>
      <xdr:row>69</xdr:row>
      <xdr:rowOff>7621</xdr:rowOff>
    </xdr:to>
    <xdr:graphicFrame macro="">
      <xdr:nvGraphicFramePr>
        <xdr:cNvPr id="12" name="Gráfico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107406</xdr:colOff>
      <xdr:row>69</xdr:row>
      <xdr:rowOff>116294</xdr:rowOff>
    </xdr:from>
    <xdr:to>
      <xdr:col>24</xdr:col>
      <xdr:colOff>238579</xdr:colOff>
      <xdr:row>82</xdr:row>
      <xdr:rowOff>125730</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1066255</xdr:colOff>
      <xdr:row>69</xdr:row>
      <xdr:rowOff>191043</xdr:rowOff>
    </xdr:from>
    <xdr:to>
      <xdr:col>10</xdr:col>
      <xdr:colOff>1055914</xdr:colOff>
      <xdr:row>81</xdr:row>
      <xdr:rowOff>373925</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185058</xdr:colOff>
      <xdr:row>15</xdr:row>
      <xdr:rowOff>48985</xdr:rowOff>
    </xdr:from>
    <xdr:to>
      <xdr:col>36</xdr:col>
      <xdr:colOff>424543</xdr:colOff>
      <xdr:row>32</xdr:row>
      <xdr:rowOff>76200</xdr:rowOff>
    </xdr:to>
    <xdr:graphicFrame macro="">
      <xdr:nvGraphicFramePr>
        <xdr:cNvPr id="15" name="Gráfico 14">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204106</xdr:colOff>
      <xdr:row>32</xdr:row>
      <xdr:rowOff>234041</xdr:rowOff>
    </xdr:from>
    <xdr:to>
      <xdr:col>36</xdr:col>
      <xdr:colOff>628649</xdr:colOff>
      <xdr:row>46</xdr:row>
      <xdr:rowOff>62592</xdr:rowOff>
    </xdr:to>
    <xdr:graphicFrame macro="">
      <xdr:nvGraphicFramePr>
        <xdr:cNvPr id="16" name="Gráfico 15">
          <a:extLst>
            <a:ext uri="{FF2B5EF4-FFF2-40B4-BE49-F238E27FC236}">
              <a16:creationId xmlns:a16="http://schemas.microsoft.com/office/drawing/2014/main" id="{00000000-0008-0000-0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223156</xdr:colOff>
      <xdr:row>46</xdr:row>
      <xdr:rowOff>225878</xdr:rowOff>
    </xdr:from>
    <xdr:to>
      <xdr:col>36</xdr:col>
      <xdr:colOff>590550</xdr:colOff>
      <xdr:row>57</xdr:row>
      <xdr:rowOff>95249</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315685</xdr:colOff>
      <xdr:row>58</xdr:row>
      <xdr:rowOff>397327</xdr:rowOff>
    </xdr:from>
    <xdr:to>
      <xdr:col>36</xdr:col>
      <xdr:colOff>424543</xdr:colOff>
      <xdr:row>69</xdr:row>
      <xdr:rowOff>440869</xdr:rowOff>
    </xdr:to>
    <xdr:graphicFrame macro="">
      <xdr:nvGraphicFramePr>
        <xdr:cNvPr id="18" name="Gráfico 17">
          <a:extLst>
            <a:ext uri="{FF2B5EF4-FFF2-40B4-BE49-F238E27FC236}">
              <a16:creationId xmlns:a16="http://schemas.microsoft.com/office/drawing/2014/main" id="{00000000-0008-0000-09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152399</xdr:colOff>
      <xdr:row>71</xdr:row>
      <xdr:rowOff>907</xdr:rowOff>
    </xdr:from>
    <xdr:to>
      <xdr:col>37</xdr:col>
      <xdr:colOff>152399</xdr:colOff>
      <xdr:row>82</xdr:row>
      <xdr:rowOff>54427</xdr:rowOff>
    </xdr:to>
    <xdr:graphicFrame macro="">
      <xdr:nvGraphicFramePr>
        <xdr:cNvPr id="19" name="Gráfico 18">
          <a:extLst>
            <a:ext uri="{FF2B5EF4-FFF2-40B4-BE49-F238E27FC236}">
              <a16:creationId xmlns:a16="http://schemas.microsoft.com/office/drawing/2014/main" id="{00000000-0008-0000-09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1084580</xdr:colOff>
      <xdr:row>1</xdr:row>
      <xdr:rowOff>36830</xdr:rowOff>
    </xdr:from>
    <xdr:to>
      <xdr:col>10</xdr:col>
      <xdr:colOff>518160</xdr:colOff>
      <xdr:row>20</xdr:row>
      <xdr:rowOff>30480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1932940</xdr:colOff>
      <xdr:row>12</xdr:row>
      <xdr:rowOff>13123</xdr:rowOff>
    </xdr:from>
    <xdr:to>
      <xdr:col>6</xdr:col>
      <xdr:colOff>3992880</xdr:colOff>
      <xdr:row>34</xdr:row>
      <xdr:rowOff>45720</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277586</xdr:colOff>
      <xdr:row>0</xdr:row>
      <xdr:rowOff>0</xdr:rowOff>
    </xdr:from>
    <xdr:to>
      <xdr:col>30</xdr:col>
      <xdr:colOff>533400</xdr:colOff>
      <xdr:row>14</xdr:row>
      <xdr:rowOff>100693</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761636</xdr:colOff>
      <xdr:row>39</xdr:row>
      <xdr:rowOff>125366</xdr:rowOff>
    </xdr:from>
    <xdr:to>
      <xdr:col>48</xdr:col>
      <xdr:colOff>45720</xdr:colOff>
      <xdr:row>52</xdr:row>
      <xdr:rowOff>15239</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11973</xdr:colOff>
      <xdr:row>53</xdr:row>
      <xdr:rowOff>30480</xdr:rowOff>
    </xdr:from>
    <xdr:to>
      <xdr:col>47</xdr:col>
      <xdr:colOff>746760</xdr:colOff>
      <xdr:row>69</xdr:row>
      <xdr:rowOff>106680</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783770</xdr:colOff>
      <xdr:row>70</xdr:row>
      <xdr:rowOff>380456</xdr:rowOff>
    </xdr:from>
    <xdr:to>
      <xdr:col>47</xdr:col>
      <xdr:colOff>701040</xdr:colOff>
      <xdr:row>83</xdr:row>
      <xdr:rowOff>15240</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776754</xdr:colOff>
      <xdr:row>84</xdr:row>
      <xdr:rowOff>72451</xdr:rowOff>
    </xdr:from>
    <xdr:to>
      <xdr:col>47</xdr:col>
      <xdr:colOff>624840</xdr:colOff>
      <xdr:row>95</xdr:row>
      <xdr:rowOff>413658</xdr:rowOff>
    </xdr:to>
    <xdr:graphicFrame macro="">
      <xdr:nvGraphicFramePr>
        <xdr:cNvPr id="10" name="Gráfico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4020215</xdr:colOff>
      <xdr:row>103</xdr:row>
      <xdr:rowOff>93132</xdr:rowOff>
    </xdr:from>
    <xdr:to>
      <xdr:col>13</xdr:col>
      <xdr:colOff>1097280</xdr:colOff>
      <xdr:row>124</xdr:row>
      <xdr:rowOff>60960</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56362</xdr:colOff>
      <xdr:row>15</xdr:row>
      <xdr:rowOff>85756</xdr:rowOff>
    </xdr:from>
    <xdr:to>
      <xdr:col>47</xdr:col>
      <xdr:colOff>459134</xdr:colOff>
      <xdr:row>39</xdr:row>
      <xdr:rowOff>137645</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11125</xdr:colOff>
      <xdr:row>96</xdr:row>
      <xdr:rowOff>385474</xdr:rowOff>
    </xdr:from>
    <xdr:to>
      <xdr:col>47</xdr:col>
      <xdr:colOff>670560</xdr:colOff>
      <xdr:row>109</xdr:row>
      <xdr:rowOff>60960</xdr:rowOff>
    </xdr:to>
    <xdr:graphicFrame macro="">
      <xdr:nvGraphicFramePr>
        <xdr:cNvPr id="11" name="Gráfico 10">
          <a:extLst>
            <a:ext uri="{FF2B5EF4-FFF2-40B4-BE49-F238E27FC236}">
              <a16:creationId xmlns:a16="http://schemas.microsoft.com/office/drawing/2014/main" id="{00000000-0008-0000-0A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905690</xdr:colOff>
      <xdr:row>39</xdr:row>
      <xdr:rowOff>105586</xdr:rowOff>
    </xdr:from>
    <xdr:to>
      <xdr:col>8</xdr:col>
      <xdr:colOff>2299063</xdr:colOff>
      <xdr:row>71</xdr:row>
      <xdr:rowOff>396240</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108856</xdr:colOff>
      <xdr:row>47</xdr:row>
      <xdr:rowOff>360316</xdr:rowOff>
    </xdr:from>
    <xdr:to>
      <xdr:col>33</xdr:col>
      <xdr:colOff>533399</xdr:colOff>
      <xdr:row>70</xdr:row>
      <xdr:rowOff>350519</xdr:rowOff>
    </xdr:to>
    <xdr:graphicFrame macro="">
      <xdr:nvGraphicFramePr>
        <xdr:cNvPr id="12" name="Gráfico 11">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1563188</xdr:colOff>
      <xdr:row>71</xdr:row>
      <xdr:rowOff>230778</xdr:rowOff>
    </xdr:from>
    <xdr:to>
      <xdr:col>20</xdr:col>
      <xdr:colOff>60960</xdr:colOff>
      <xdr:row>82</xdr:row>
      <xdr:rowOff>502920</xdr:rowOff>
    </xdr:to>
    <xdr:graphicFrame macro="">
      <xdr:nvGraphicFramePr>
        <xdr:cNvPr id="14" name="Gráfico 13">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1497872</xdr:colOff>
      <xdr:row>84</xdr:row>
      <xdr:rowOff>4354</xdr:rowOff>
    </xdr:from>
    <xdr:to>
      <xdr:col>20</xdr:col>
      <xdr:colOff>-1</xdr:colOff>
      <xdr:row>95</xdr:row>
      <xdr:rowOff>263432</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1574074</xdr:colOff>
      <xdr:row>96</xdr:row>
      <xdr:rowOff>168727</xdr:rowOff>
    </xdr:from>
    <xdr:to>
      <xdr:col>23</xdr:col>
      <xdr:colOff>624840</xdr:colOff>
      <xdr:row>109</xdr:row>
      <xdr:rowOff>137160</xdr:rowOff>
    </xdr:to>
    <xdr:graphicFrame macro="">
      <xdr:nvGraphicFramePr>
        <xdr:cNvPr id="16" name="Gráfico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167640</xdr:colOff>
      <xdr:row>13</xdr:row>
      <xdr:rowOff>15240</xdr:rowOff>
    </xdr:from>
    <xdr:to>
      <xdr:col>14</xdr:col>
      <xdr:colOff>746760</xdr:colOff>
      <xdr:row>39</xdr:row>
      <xdr:rowOff>152400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457200</xdr:colOff>
      <xdr:row>50</xdr:row>
      <xdr:rowOff>45720</xdr:rowOff>
    </xdr:from>
    <xdr:to>
      <xdr:col>16</xdr:col>
      <xdr:colOff>387534</xdr:colOff>
      <xdr:row>64</xdr:row>
      <xdr:rowOff>19594</xdr:rowOff>
    </xdr:to>
    <xdr:graphicFrame macro="">
      <xdr:nvGraphicFramePr>
        <xdr:cNvPr id="24" name="Gráfico 23">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902968</xdr:colOff>
      <xdr:row>13</xdr:row>
      <xdr:rowOff>57150</xdr:rowOff>
    </xdr:from>
    <xdr:to>
      <xdr:col>23</xdr:col>
      <xdr:colOff>158114</xdr:colOff>
      <xdr:row>36</xdr:row>
      <xdr:rowOff>579120</xdr:rowOff>
    </xdr:to>
    <xdr:graphicFrame macro="">
      <xdr:nvGraphicFramePr>
        <xdr:cNvPr id="11" name="Gráfico 10">
          <a:extLst>
            <a:ext uri="{FF2B5EF4-FFF2-40B4-BE49-F238E27FC236}">
              <a16:creationId xmlns:a16="http://schemas.microsoft.com/office/drawing/2014/main" id="{00000000-0008-0000-0B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400684</xdr:colOff>
      <xdr:row>2</xdr:row>
      <xdr:rowOff>35877</xdr:rowOff>
    </xdr:from>
    <xdr:to>
      <xdr:col>31</xdr:col>
      <xdr:colOff>334009</xdr:colOff>
      <xdr:row>9</xdr:row>
      <xdr:rowOff>106680</xdr:rowOff>
    </xdr:to>
    <xdr:graphicFrame macro="">
      <xdr:nvGraphicFramePr>
        <xdr:cNvPr id="12" name="Gráfico 11">
          <a:extLst>
            <a:ext uri="{FF2B5EF4-FFF2-40B4-BE49-F238E27FC236}">
              <a16:creationId xmlns:a16="http://schemas.microsoft.com/office/drawing/2014/main" id="{00000000-0008-0000-0B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670560</xdr:colOff>
      <xdr:row>27</xdr:row>
      <xdr:rowOff>113348</xdr:rowOff>
    </xdr:from>
    <xdr:to>
      <xdr:col>56</xdr:col>
      <xdr:colOff>350520</xdr:colOff>
      <xdr:row>36</xdr:row>
      <xdr:rowOff>640080</xdr:rowOff>
    </xdr:to>
    <xdr:graphicFrame macro="">
      <xdr:nvGraphicFramePr>
        <xdr:cNvPr id="13" name="Gráfico 12">
          <a:extLst>
            <a:ext uri="{FF2B5EF4-FFF2-40B4-BE49-F238E27FC236}">
              <a16:creationId xmlns:a16="http://schemas.microsoft.com/office/drawing/2014/main" id="{00000000-0008-0000-0B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661670</xdr:colOff>
      <xdr:row>37</xdr:row>
      <xdr:rowOff>106680</xdr:rowOff>
    </xdr:from>
    <xdr:to>
      <xdr:col>56</xdr:col>
      <xdr:colOff>441960</xdr:colOff>
      <xdr:row>45</xdr:row>
      <xdr:rowOff>289559</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3808</xdr:colOff>
      <xdr:row>45</xdr:row>
      <xdr:rowOff>660082</xdr:rowOff>
    </xdr:from>
    <xdr:to>
      <xdr:col>56</xdr:col>
      <xdr:colOff>396239</xdr:colOff>
      <xdr:row>56</xdr:row>
      <xdr:rowOff>106680</xdr:rowOff>
    </xdr:to>
    <xdr:graphicFrame macro="">
      <xdr:nvGraphicFramePr>
        <xdr:cNvPr id="15" name="Gráfico 14">
          <a:extLst>
            <a:ext uri="{FF2B5EF4-FFF2-40B4-BE49-F238E27FC236}">
              <a16:creationId xmlns:a16="http://schemas.microsoft.com/office/drawing/2014/main" id="{00000000-0008-0000-0B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308609</xdr:colOff>
      <xdr:row>68</xdr:row>
      <xdr:rowOff>149543</xdr:rowOff>
    </xdr:from>
    <xdr:to>
      <xdr:col>56</xdr:col>
      <xdr:colOff>0</xdr:colOff>
      <xdr:row>78</xdr:row>
      <xdr:rowOff>487681</xdr:rowOff>
    </xdr:to>
    <xdr:graphicFrame macro="">
      <xdr:nvGraphicFramePr>
        <xdr:cNvPr id="16" name="Gráfico 15">
          <a:extLst>
            <a:ext uri="{FF2B5EF4-FFF2-40B4-BE49-F238E27FC236}">
              <a16:creationId xmlns:a16="http://schemas.microsoft.com/office/drawing/2014/main" id="{00000000-0008-0000-0B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361949</xdr:colOff>
      <xdr:row>80</xdr:row>
      <xdr:rowOff>41593</xdr:rowOff>
    </xdr:from>
    <xdr:to>
      <xdr:col>63</xdr:col>
      <xdr:colOff>72389</xdr:colOff>
      <xdr:row>90</xdr:row>
      <xdr:rowOff>249238</xdr:rowOff>
    </xdr:to>
    <xdr:graphicFrame macro="">
      <xdr:nvGraphicFramePr>
        <xdr:cNvPr id="17" name="Gráfico 16">
          <a:extLst>
            <a:ext uri="{FF2B5EF4-FFF2-40B4-BE49-F238E27FC236}">
              <a16:creationId xmlns:a16="http://schemas.microsoft.com/office/drawing/2014/main" id="{00000000-0008-0000-0B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3340734</xdr:colOff>
      <xdr:row>81</xdr:row>
      <xdr:rowOff>167958</xdr:rowOff>
    </xdr:from>
    <xdr:to>
      <xdr:col>12</xdr:col>
      <xdr:colOff>388620</xdr:colOff>
      <xdr:row>94</xdr:row>
      <xdr:rowOff>476250</xdr:rowOff>
    </xdr:to>
    <xdr:graphicFrame macro="">
      <xdr:nvGraphicFramePr>
        <xdr:cNvPr id="18" name="Gráfico 17">
          <a:extLst>
            <a:ext uri="{FF2B5EF4-FFF2-40B4-BE49-F238E27FC236}">
              <a16:creationId xmlns:a16="http://schemas.microsoft.com/office/drawing/2014/main" id="{00000000-0008-0000-0B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548640</xdr:colOff>
      <xdr:row>28</xdr:row>
      <xdr:rowOff>99060</xdr:rowOff>
    </xdr:from>
    <xdr:to>
      <xdr:col>41</xdr:col>
      <xdr:colOff>243840</xdr:colOff>
      <xdr:row>37</xdr:row>
      <xdr:rowOff>76200</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487680</xdr:colOff>
      <xdr:row>37</xdr:row>
      <xdr:rowOff>182880</xdr:rowOff>
    </xdr:from>
    <xdr:to>
      <xdr:col>41</xdr:col>
      <xdr:colOff>304800</xdr:colOff>
      <xdr:row>45</xdr:row>
      <xdr:rowOff>182880</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403860</xdr:colOff>
      <xdr:row>45</xdr:row>
      <xdr:rowOff>415290</xdr:rowOff>
    </xdr:from>
    <xdr:to>
      <xdr:col>41</xdr:col>
      <xdr:colOff>76200</xdr:colOff>
      <xdr:row>54</xdr:row>
      <xdr:rowOff>300990</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400050</xdr:colOff>
      <xdr:row>67</xdr:row>
      <xdr:rowOff>354330</xdr:rowOff>
    </xdr:from>
    <xdr:to>
      <xdr:col>39</xdr:col>
      <xdr:colOff>781050</xdr:colOff>
      <xdr:row>79</xdr:row>
      <xdr:rowOff>133350</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613410</xdr:colOff>
      <xdr:row>13</xdr:row>
      <xdr:rowOff>26670</xdr:rowOff>
    </xdr:from>
    <xdr:to>
      <xdr:col>12</xdr:col>
      <xdr:colOff>598170</xdr:colOff>
      <xdr:row>36</xdr:row>
      <xdr:rowOff>621030</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548640</xdr:colOff>
      <xdr:row>9</xdr:row>
      <xdr:rowOff>312420</xdr:rowOff>
    </xdr:from>
    <xdr:to>
      <xdr:col>39</xdr:col>
      <xdr:colOff>45720</xdr:colOff>
      <xdr:row>27</xdr:row>
      <xdr:rowOff>167640</xdr:rowOff>
    </xdr:to>
    <xdr:graphicFrame macro="">
      <xdr:nvGraphicFramePr>
        <xdr:cNvPr id="19" name="Gráfico 18">
          <a:extLst>
            <a:ext uri="{FF2B5EF4-FFF2-40B4-BE49-F238E27FC236}">
              <a16:creationId xmlns:a16="http://schemas.microsoft.com/office/drawing/2014/main" id="{00000000-0008-0000-0B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403860</xdr:colOff>
      <xdr:row>54</xdr:row>
      <xdr:rowOff>461010</xdr:rowOff>
    </xdr:from>
    <xdr:to>
      <xdr:col>40</xdr:col>
      <xdr:colOff>708660</xdr:colOff>
      <xdr:row>67</xdr:row>
      <xdr:rowOff>148590</xdr:rowOff>
    </xdr:to>
    <xdr:graphicFrame macro="">
      <xdr:nvGraphicFramePr>
        <xdr:cNvPr id="9" name="Gráfico 8">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441960</xdr:colOff>
      <xdr:row>81</xdr:row>
      <xdr:rowOff>91440</xdr:rowOff>
    </xdr:from>
    <xdr:to>
      <xdr:col>40</xdr:col>
      <xdr:colOff>121920</xdr:colOff>
      <xdr:row>92</xdr:row>
      <xdr:rowOff>243840</xdr:rowOff>
    </xdr:to>
    <xdr:graphicFrame macro="">
      <xdr:nvGraphicFramePr>
        <xdr:cNvPr id="22" name="Gráfico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226060</xdr:colOff>
      <xdr:row>13</xdr:row>
      <xdr:rowOff>140970</xdr:rowOff>
    </xdr:from>
    <xdr:to>
      <xdr:col>5</xdr:col>
      <xdr:colOff>632460</xdr:colOff>
      <xdr:row>41</xdr:row>
      <xdr:rowOff>40640</xdr:rowOff>
    </xdr:to>
    <xdr:graphicFrame macro="">
      <xdr:nvGraphicFramePr>
        <xdr:cNvPr id="18" name="Gráfico 17">
          <a:extLst>
            <a:ext uri="{FF2B5EF4-FFF2-40B4-BE49-F238E27FC236}">
              <a16:creationId xmlns:a16="http://schemas.microsoft.com/office/drawing/2014/main" id="{00000000-0008-0000-0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706120</xdr:colOff>
      <xdr:row>2</xdr:row>
      <xdr:rowOff>36830</xdr:rowOff>
    </xdr:from>
    <xdr:to>
      <xdr:col>44</xdr:col>
      <xdr:colOff>591820</xdr:colOff>
      <xdr:row>11</xdr:row>
      <xdr:rowOff>142240</xdr:rowOff>
    </xdr:to>
    <xdr:graphicFrame macro="">
      <xdr:nvGraphicFramePr>
        <xdr:cNvPr id="19" name="Gráfico 18">
          <a:extLst>
            <a:ext uri="{FF2B5EF4-FFF2-40B4-BE49-F238E27FC236}">
              <a16:creationId xmlns:a16="http://schemas.microsoft.com/office/drawing/2014/main" id="{00000000-0008-0000-0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784860</xdr:colOff>
      <xdr:row>15</xdr:row>
      <xdr:rowOff>171450</xdr:rowOff>
    </xdr:from>
    <xdr:to>
      <xdr:col>44</xdr:col>
      <xdr:colOff>167640</xdr:colOff>
      <xdr:row>42</xdr:row>
      <xdr:rowOff>114300</xdr:rowOff>
    </xdr:to>
    <xdr:graphicFrame macro="">
      <xdr:nvGraphicFramePr>
        <xdr:cNvPr id="20" name="Gráfico 19">
          <a:extLst>
            <a:ext uri="{FF2B5EF4-FFF2-40B4-BE49-F238E27FC236}">
              <a16:creationId xmlns:a16="http://schemas.microsoft.com/office/drawing/2014/main" id="{00000000-0008-0000-0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421640</xdr:colOff>
      <xdr:row>45</xdr:row>
      <xdr:rowOff>425450</xdr:rowOff>
    </xdr:from>
    <xdr:to>
      <xdr:col>38</xdr:col>
      <xdr:colOff>312420</xdr:colOff>
      <xdr:row>55</xdr:row>
      <xdr:rowOff>50800</xdr:rowOff>
    </xdr:to>
    <xdr:graphicFrame macro="">
      <xdr:nvGraphicFramePr>
        <xdr:cNvPr id="21" name="Gráfico 20">
          <a:extLst>
            <a:ext uri="{FF2B5EF4-FFF2-40B4-BE49-F238E27FC236}">
              <a16:creationId xmlns:a16="http://schemas.microsoft.com/office/drawing/2014/main" id="{00000000-0008-0000-0C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459740</xdr:colOff>
      <xdr:row>55</xdr:row>
      <xdr:rowOff>417830</xdr:rowOff>
    </xdr:from>
    <xdr:to>
      <xdr:col>40</xdr:col>
      <xdr:colOff>596900</xdr:colOff>
      <xdr:row>68</xdr:row>
      <xdr:rowOff>106680</xdr:rowOff>
    </xdr:to>
    <xdr:graphicFrame macro="">
      <xdr:nvGraphicFramePr>
        <xdr:cNvPr id="22" name="Gráfico 21">
          <a:extLst>
            <a:ext uri="{FF2B5EF4-FFF2-40B4-BE49-F238E27FC236}">
              <a16:creationId xmlns:a16="http://schemas.microsoft.com/office/drawing/2014/main" id="{00000000-0008-0000-0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523240</xdr:colOff>
      <xdr:row>69</xdr:row>
      <xdr:rowOff>102870</xdr:rowOff>
    </xdr:from>
    <xdr:to>
      <xdr:col>45</xdr:col>
      <xdr:colOff>147320</xdr:colOff>
      <xdr:row>77</xdr:row>
      <xdr:rowOff>182880</xdr:rowOff>
    </xdr:to>
    <xdr:graphicFrame macro="">
      <xdr:nvGraphicFramePr>
        <xdr:cNvPr id="23" name="Gráfico 22">
          <a:extLst>
            <a:ext uri="{FF2B5EF4-FFF2-40B4-BE49-F238E27FC236}">
              <a16:creationId xmlns:a16="http://schemas.microsoft.com/office/drawing/2014/main" id="{00000000-0008-0000-0C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538480</xdr:colOff>
      <xdr:row>78</xdr:row>
      <xdr:rowOff>76200</xdr:rowOff>
    </xdr:from>
    <xdr:to>
      <xdr:col>45</xdr:col>
      <xdr:colOff>149860</xdr:colOff>
      <xdr:row>90</xdr:row>
      <xdr:rowOff>5080</xdr:rowOff>
    </xdr:to>
    <xdr:graphicFrame macro="">
      <xdr:nvGraphicFramePr>
        <xdr:cNvPr id="24" name="Gráfico 23">
          <a:extLst>
            <a:ext uri="{FF2B5EF4-FFF2-40B4-BE49-F238E27FC236}">
              <a16:creationId xmlns:a16="http://schemas.microsoft.com/office/drawing/2014/main" id="{00000000-0008-0000-0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553720</xdr:colOff>
      <xdr:row>91</xdr:row>
      <xdr:rowOff>26670</xdr:rowOff>
    </xdr:from>
    <xdr:to>
      <xdr:col>45</xdr:col>
      <xdr:colOff>45720</xdr:colOff>
      <xdr:row>101</xdr:row>
      <xdr:rowOff>5080</xdr:rowOff>
    </xdr:to>
    <xdr:graphicFrame macro="">
      <xdr:nvGraphicFramePr>
        <xdr:cNvPr id="25" name="Gráfico 24">
          <a:extLst>
            <a:ext uri="{FF2B5EF4-FFF2-40B4-BE49-F238E27FC236}">
              <a16:creationId xmlns:a16="http://schemas.microsoft.com/office/drawing/2014/main" id="{00000000-0008-0000-0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3611880</xdr:colOff>
      <xdr:row>113</xdr:row>
      <xdr:rowOff>166370</xdr:rowOff>
    </xdr:from>
    <xdr:to>
      <xdr:col>10</xdr:col>
      <xdr:colOff>360680</xdr:colOff>
      <xdr:row>133</xdr:row>
      <xdr:rowOff>30480</xdr:rowOff>
    </xdr:to>
    <xdr:graphicFrame macro="">
      <xdr:nvGraphicFramePr>
        <xdr:cNvPr id="26" name="Gráfico 25">
          <a:extLst>
            <a:ext uri="{FF2B5EF4-FFF2-40B4-BE49-F238E27FC236}">
              <a16:creationId xmlns:a16="http://schemas.microsoft.com/office/drawing/2014/main" id="{00000000-0008-0000-0C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1619250</xdr:colOff>
      <xdr:row>45</xdr:row>
      <xdr:rowOff>266700</xdr:rowOff>
    </xdr:from>
    <xdr:to>
      <xdr:col>22</xdr:col>
      <xdr:colOff>798830</xdr:colOff>
      <xdr:row>55</xdr:row>
      <xdr:rowOff>231140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1932940</xdr:colOff>
      <xdr:row>69</xdr:row>
      <xdr:rowOff>839470</xdr:rowOff>
    </xdr:from>
    <xdr:to>
      <xdr:col>16</xdr:col>
      <xdr:colOff>266700</xdr:colOff>
      <xdr:row>82</xdr:row>
      <xdr:rowOff>133350</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2033270</xdr:colOff>
      <xdr:row>82</xdr:row>
      <xdr:rowOff>304800</xdr:rowOff>
    </xdr:from>
    <xdr:to>
      <xdr:col>16</xdr:col>
      <xdr:colOff>247650</xdr:colOff>
      <xdr:row>94</xdr:row>
      <xdr:rowOff>487680</xdr:rowOff>
    </xdr:to>
    <xdr:graphicFrame macro="">
      <xdr:nvGraphicFramePr>
        <xdr:cNvPr id="5" name="Gráfico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2053590</xdr:colOff>
      <xdr:row>95</xdr:row>
      <xdr:rowOff>151130</xdr:rowOff>
    </xdr:from>
    <xdr:to>
      <xdr:col>16</xdr:col>
      <xdr:colOff>392430</xdr:colOff>
      <xdr:row>107</xdr:row>
      <xdr:rowOff>236220</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1722120</xdr:colOff>
      <xdr:row>16</xdr:row>
      <xdr:rowOff>48260</xdr:rowOff>
    </xdr:from>
    <xdr:to>
      <xdr:col>22</xdr:col>
      <xdr:colOff>492760</xdr:colOff>
      <xdr:row>45</xdr:row>
      <xdr:rowOff>182880</xdr:rowOff>
    </xdr:to>
    <xdr:graphicFrame macro="">
      <xdr:nvGraphicFramePr>
        <xdr:cNvPr id="7" name="Gráfico 6">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1158240</xdr:colOff>
      <xdr:row>14</xdr:row>
      <xdr:rowOff>175260</xdr:rowOff>
    </xdr:from>
    <xdr:to>
      <xdr:col>13</xdr:col>
      <xdr:colOff>1264920</xdr:colOff>
      <xdr:row>45</xdr:row>
      <xdr:rowOff>701040</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819150</xdr:colOff>
      <xdr:row>54</xdr:row>
      <xdr:rowOff>384810</xdr:rowOff>
    </xdr:from>
    <xdr:to>
      <xdr:col>13</xdr:col>
      <xdr:colOff>457200</xdr:colOff>
      <xdr:row>62</xdr:row>
      <xdr:rowOff>476250</xdr:rowOff>
    </xdr:to>
    <xdr:graphicFrame macro="">
      <xdr:nvGraphicFramePr>
        <xdr:cNvPr id="10" name="Gráfico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1722120</xdr:colOff>
      <xdr:row>55</xdr:row>
      <xdr:rowOff>499110</xdr:rowOff>
    </xdr:from>
    <xdr:to>
      <xdr:col>23</xdr:col>
      <xdr:colOff>119380</xdr:colOff>
      <xdr:row>65</xdr:row>
      <xdr:rowOff>93980</xdr:rowOff>
    </xdr:to>
    <xdr:graphicFrame macro="">
      <xdr:nvGraphicFramePr>
        <xdr:cNvPr id="29" name="Gráfico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419100</xdr:colOff>
      <xdr:row>12</xdr:row>
      <xdr:rowOff>19050</xdr:rowOff>
    </xdr:from>
    <xdr:to>
      <xdr:col>5</xdr:col>
      <xdr:colOff>825500</xdr:colOff>
      <xdr:row>39</xdr:row>
      <xdr:rowOff>101600</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107950</xdr:colOff>
      <xdr:row>1</xdr:row>
      <xdr:rowOff>48260</xdr:rowOff>
    </xdr:from>
    <xdr:to>
      <xdr:col>35</xdr:col>
      <xdr:colOff>698500</xdr:colOff>
      <xdr:row>12</xdr:row>
      <xdr:rowOff>54610</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2862580</xdr:colOff>
      <xdr:row>104</xdr:row>
      <xdr:rowOff>31750</xdr:rowOff>
    </xdr:from>
    <xdr:to>
      <xdr:col>12</xdr:col>
      <xdr:colOff>838200</xdr:colOff>
      <xdr:row>119</xdr:row>
      <xdr:rowOff>140970</xdr:rowOff>
    </xdr:to>
    <xdr:graphicFrame macro="">
      <xdr:nvGraphicFramePr>
        <xdr:cNvPr id="10" name="Gráfico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744220</xdr:colOff>
      <xdr:row>21</xdr:row>
      <xdr:rowOff>139700</xdr:rowOff>
    </xdr:from>
    <xdr:to>
      <xdr:col>47</xdr:col>
      <xdr:colOff>217170</xdr:colOff>
      <xdr:row>42</xdr:row>
      <xdr:rowOff>154940</xdr:rowOff>
    </xdr:to>
    <xdr:graphicFrame macro="">
      <xdr:nvGraphicFramePr>
        <xdr:cNvPr id="11" name="Gráfico 10">
          <a:extLst>
            <a:ext uri="{FF2B5EF4-FFF2-40B4-BE49-F238E27FC236}">
              <a16:creationId xmlns:a16="http://schemas.microsoft.com/office/drawing/2014/main" id="{00000000-0008-0000-0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76200</xdr:colOff>
      <xdr:row>44</xdr:row>
      <xdr:rowOff>105410</xdr:rowOff>
    </xdr:from>
    <xdr:to>
      <xdr:col>48</xdr:col>
      <xdr:colOff>449580</xdr:colOff>
      <xdr:row>56</xdr:row>
      <xdr:rowOff>180340</xdr:rowOff>
    </xdr:to>
    <xdr:graphicFrame macro="">
      <xdr:nvGraphicFramePr>
        <xdr:cNvPr id="12" name="Gráfico 11">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55880</xdr:colOff>
      <xdr:row>57</xdr:row>
      <xdr:rowOff>224790</xdr:rowOff>
    </xdr:from>
    <xdr:to>
      <xdr:col>53</xdr:col>
      <xdr:colOff>340360</xdr:colOff>
      <xdr:row>68</xdr:row>
      <xdr:rowOff>35560</xdr:rowOff>
    </xdr:to>
    <xdr:graphicFrame macro="">
      <xdr:nvGraphicFramePr>
        <xdr:cNvPr id="13" name="Gráfico 12">
          <a:extLst>
            <a:ext uri="{FF2B5EF4-FFF2-40B4-BE49-F238E27FC236}">
              <a16:creationId xmlns:a16="http://schemas.microsoft.com/office/drawing/2014/main" id="{00000000-0008-0000-0D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190500</xdr:colOff>
      <xdr:row>68</xdr:row>
      <xdr:rowOff>400050</xdr:rowOff>
    </xdr:from>
    <xdr:to>
      <xdr:col>49</xdr:col>
      <xdr:colOff>5080</xdr:colOff>
      <xdr:row>77</xdr:row>
      <xdr:rowOff>279400</xdr:rowOff>
    </xdr:to>
    <xdr:graphicFrame macro="">
      <xdr:nvGraphicFramePr>
        <xdr:cNvPr id="14" name="Gráfico 13">
          <a:extLst>
            <a:ext uri="{FF2B5EF4-FFF2-40B4-BE49-F238E27FC236}">
              <a16:creationId xmlns:a16="http://schemas.microsoft.com/office/drawing/2014/main" id="{00000000-0008-0000-0D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2614930</xdr:colOff>
      <xdr:row>12</xdr:row>
      <xdr:rowOff>48260</xdr:rowOff>
    </xdr:from>
    <xdr:to>
      <xdr:col>22</xdr:col>
      <xdr:colOff>247650</xdr:colOff>
      <xdr:row>37</xdr:row>
      <xdr:rowOff>95250</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2796540</xdr:colOff>
      <xdr:row>38</xdr:row>
      <xdr:rowOff>177800</xdr:rowOff>
    </xdr:from>
    <xdr:to>
      <xdr:col>22</xdr:col>
      <xdr:colOff>304800</xdr:colOff>
      <xdr:row>55</xdr:row>
      <xdr:rowOff>228600</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387350</xdr:colOff>
      <xdr:row>79</xdr:row>
      <xdr:rowOff>111760</xdr:rowOff>
    </xdr:from>
    <xdr:to>
      <xdr:col>23</xdr:col>
      <xdr:colOff>628650</xdr:colOff>
      <xdr:row>91</xdr:row>
      <xdr:rowOff>190500</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878840</xdr:colOff>
      <xdr:row>66</xdr:row>
      <xdr:rowOff>45720</xdr:rowOff>
    </xdr:from>
    <xdr:to>
      <xdr:col>25</xdr:col>
      <xdr:colOff>335280</xdr:colOff>
      <xdr:row>78</xdr:row>
      <xdr:rowOff>350520</xdr:rowOff>
    </xdr:to>
    <xdr:graphicFrame macro="">
      <xdr:nvGraphicFramePr>
        <xdr:cNvPr id="7" name="Gráfico 6">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1767840</xdr:colOff>
      <xdr:row>11</xdr:row>
      <xdr:rowOff>83820</xdr:rowOff>
    </xdr:from>
    <xdr:to>
      <xdr:col>12</xdr:col>
      <xdr:colOff>167640</xdr:colOff>
      <xdr:row>46</xdr:row>
      <xdr:rowOff>30480</xdr:rowOff>
    </xdr:to>
    <xdr:graphicFrame macro="">
      <xdr:nvGraphicFramePr>
        <xdr:cNvPr id="9" name="Gráfico 8">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1569720</xdr:colOff>
      <xdr:row>93</xdr:row>
      <xdr:rowOff>563880</xdr:rowOff>
    </xdr:from>
    <xdr:to>
      <xdr:col>22</xdr:col>
      <xdr:colOff>701040</xdr:colOff>
      <xdr:row>108</xdr:row>
      <xdr:rowOff>312420</xdr:rowOff>
    </xdr:to>
    <xdr:graphicFrame macro="">
      <xdr:nvGraphicFramePr>
        <xdr:cNvPr id="17" name="Gráfico 16">
          <a:extLst>
            <a:ext uri="{FF2B5EF4-FFF2-40B4-BE49-F238E27FC236}">
              <a16:creationId xmlns:a16="http://schemas.microsoft.com/office/drawing/2014/main" id="{00000000-0008-0000-0D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32</xdr:col>
      <xdr:colOff>0</xdr:colOff>
      <xdr:row>79</xdr:row>
      <xdr:rowOff>281940</xdr:rowOff>
    </xdr:from>
    <xdr:to>
      <xdr:col>49</xdr:col>
      <xdr:colOff>487680</xdr:colOff>
      <xdr:row>93</xdr:row>
      <xdr:rowOff>289560</xdr:rowOff>
    </xdr:to>
    <xdr:graphicFrame macro="">
      <xdr:nvGraphicFramePr>
        <xdr:cNvPr id="18" name="Gráfico 17">
          <a:extLst>
            <a:ext uri="{FF2B5EF4-FFF2-40B4-BE49-F238E27FC236}">
              <a16:creationId xmlns:a16="http://schemas.microsoft.com/office/drawing/2014/main" id="{00000000-0008-0000-0D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914400</xdr:colOff>
      <xdr:row>55</xdr:row>
      <xdr:rowOff>438150</xdr:rowOff>
    </xdr:from>
    <xdr:to>
      <xdr:col>25</xdr:col>
      <xdr:colOff>407670</xdr:colOff>
      <xdr:row>65</xdr:row>
      <xdr:rowOff>60960</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266700</xdr:colOff>
      <xdr:row>8</xdr:row>
      <xdr:rowOff>57150</xdr:rowOff>
    </xdr:from>
    <xdr:to>
      <xdr:col>5</xdr:col>
      <xdr:colOff>2152650</xdr:colOff>
      <xdr:row>38</xdr:row>
      <xdr:rowOff>76200</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96520</xdr:colOff>
      <xdr:row>1</xdr:row>
      <xdr:rowOff>128270</xdr:rowOff>
    </xdr:from>
    <xdr:to>
      <xdr:col>28</xdr:col>
      <xdr:colOff>774700</xdr:colOff>
      <xdr:row>17</xdr:row>
      <xdr:rowOff>157480</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2941320</xdr:colOff>
      <xdr:row>56</xdr:row>
      <xdr:rowOff>171450</xdr:rowOff>
    </xdr:from>
    <xdr:to>
      <xdr:col>12</xdr:col>
      <xdr:colOff>190500</xdr:colOff>
      <xdr:row>69</xdr:row>
      <xdr:rowOff>57150</xdr:rowOff>
    </xdr:to>
    <xdr:graphicFrame macro="">
      <xdr:nvGraphicFramePr>
        <xdr:cNvPr id="4" name="Gráfico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444500</xdr:colOff>
      <xdr:row>20</xdr:row>
      <xdr:rowOff>41910</xdr:rowOff>
    </xdr:from>
    <xdr:to>
      <xdr:col>48</xdr:col>
      <xdr:colOff>5080</xdr:colOff>
      <xdr:row>42</xdr:row>
      <xdr:rowOff>57150</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429260</xdr:colOff>
      <xdr:row>42</xdr:row>
      <xdr:rowOff>689610</xdr:rowOff>
    </xdr:from>
    <xdr:to>
      <xdr:col>29</xdr:col>
      <xdr:colOff>706120</xdr:colOff>
      <xdr:row>53</xdr:row>
      <xdr:rowOff>304800</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472440</xdr:colOff>
      <xdr:row>20</xdr:row>
      <xdr:rowOff>26670</xdr:rowOff>
    </xdr:from>
    <xdr:to>
      <xdr:col>29</xdr:col>
      <xdr:colOff>579120</xdr:colOff>
      <xdr:row>41</xdr:row>
      <xdr:rowOff>588010</xdr:rowOff>
    </xdr:to>
    <xdr:graphicFrame macro="">
      <xdr:nvGraphicFramePr>
        <xdr:cNvPr id="10" name="Gráfico 9">
          <a:extLst>
            <a:ext uri="{FF2B5EF4-FFF2-40B4-BE49-F238E27FC236}">
              <a16:creationId xmlns:a16="http://schemas.microsoft.com/office/drawing/2014/main" id="{00000000-0008-0000-0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726440</xdr:colOff>
      <xdr:row>42</xdr:row>
      <xdr:rowOff>8890</xdr:rowOff>
    </xdr:from>
    <xdr:to>
      <xdr:col>12</xdr:col>
      <xdr:colOff>1460500</xdr:colOff>
      <xdr:row>51</xdr:row>
      <xdr:rowOff>716280</xdr:rowOff>
    </xdr:to>
    <xdr:graphicFrame macro="">
      <xdr:nvGraphicFramePr>
        <xdr:cNvPr id="11" name="Gráfico 10">
          <a:extLst>
            <a:ext uri="{FF2B5EF4-FFF2-40B4-BE49-F238E27FC236}">
              <a16:creationId xmlns:a16="http://schemas.microsoft.com/office/drawing/2014/main" id="{00000000-0008-0000-0E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552450</xdr:colOff>
      <xdr:row>10</xdr:row>
      <xdr:rowOff>91440</xdr:rowOff>
    </xdr:from>
    <xdr:to>
      <xdr:col>14</xdr:col>
      <xdr:colOff>19050</xdr:colOff>
      <xdr:row>41</xdr:row>
      <xdr:rowOff>457200</xdr:rowOff>
    </xdr:to>
    <xdr:graphicFrame macro="">
      <xdr:nvGraphicFramePr>
        <xdr:cNvPr id="9" name="Gráfico 8">
          <a:extLst>
            <a:ext uri="{FF2B5EF4-FFF2-40B4-BE49-F238E27FC236}">
              <a16:creationId xmlns:a16="http://schemas.microsoft.com/office/drawing/2014/main" id="{00000000-0008-0000-0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266700</xdr:colOff>
      <xdr:row>1</xdr:row>
      <xdr:rowOff>47624</xdr:rowOff>
    </xdr:from>
    <xdr:to>
      <xdr:col>35</xdr:col>
      <xdr:colOff>152400</xdr:colOff>
      <xdr:row>18</xdr:row>
      <xdr:rowOff>171450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cart-my.sharepoint.com/personal/centrodeinvestigacion_cartagena_gov_co/Documents/Bases%20de%20datos%20Visores/Seguimiento%20a%20Plan%20de%20Desarrollo/Matriz%20de%20seguimiento%20PDD%202024%20-%202027.%20%20Vigencia%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nformatica/Downloads/Avance%20programas%20pond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ridad Humana"/>
      <sheetName val="Vida Digna"/>
      <sheetName val="Desarrollo Economico"/>
      <sheetName val="Ciudad Conectada"/>
      <sheetName val="Innovación Pública"/>
      <sheetName val="Capitulo Etnico"/>
      <sheetName val="PLAN DE DESARROLLO 2024 - 2027"/>
      <sheetName val="SEGUIMIENTO DEL PLAN DE DESARRO"/>
      <sheetName val="CRITERIOS DE EVALUACIÓN"/>
      <sheetName val="GRAFICAS SEGURIDAD HUMANA"/>
      <sheetName val="GRAFICAS VIDA DIGNA "/>
      <sheetName val="GRAFICAS DESARROLLO ECONOMICO"/>
      <sheetName val="GRAFICAS CIUDAD CONECTADA"/>
      <sheetName val="GRAFICAS INNOVACIÓN Y PARTICIPA"/>
      <sheetName val="GRAFICAS CAPITULO ETNICO"/>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4">
          <cell r="K4">
            <v>0.29293663727866731</v>
          </cell>
          <cell r="M4">
            <v>0.24028917333263158</v>
          </cell>
        </row>
        <row r="5">
          <cell r="K5">
            <v>0.43173821655610001</v>
          </cell>
          <cell r="M5">
            <v>0.36421067601552731</v>
          </cell>
        </row>
        <row r="6">
          <cell r="K6">
            <v>0.35</v>
          </cell>
        </row>
        <row r="7">
          <cell r="K7">
            <v>0.66666666666666663</v>
          </cell>
        </row>
        <row r="8">
          <cell r="K8">
            <v>0.25781052722494452</v>
          </cell>
        </row>
        <row r="9">
          <cell r="K9">
            <v>0.625</v>
          </cell>
        </row>
        <row r="10">
          <cell r="K10">
            <v>0.25921388888888885</v>
          </cell>
        </row>
        <row r="11">
          <cell r="K11">
            <v>0.31811397569444444</v>
          </cell>
          <cell r="M11">
            <v>0.24196521875000004</v>
          </cell>
        </row>
        <row r="12">
          <cell r="K12">
            <v>0.47753333333333331</v>
          </cell>
        </row>
        <row r="13">
          <cell r="K13">
            <v>0.33499999999999996</v>
          </cell>
        </row>
        <row r="14">
          <cell r="K14">
            <v>0.27083333333333337</v>
          </cell>
        </row>
        <row r="15">
          <cell r="K15">
            <v>0.22055555555555553</v>
          </cell>
        </row>
        <row r="16">
          <cell r="K16">
            <v>0.30199999999999999</v>
          </cell>
        </row>
        <row r="17">
          <cell r="K17">
            <v>0.24445833333333333</v>
          </cell>
        </row>
        <row r="18">
          <cell r="K18">
            <v>0.31953124999999999</v>
          </cell>
        </row>
        <row r="19">
          <cell r="K19">
            <v>0.375</v>
          </cell>
        </row>
        <row r="20">
          <cell r="K20">
            <v>0.23527151611744229</v>
          </cell>
          <cell r="M20">
            <v>0.2170625911038922</v>
          </cell>
        </row>
        <row r="21">
          <cell r="K21">
            <v>0.26717664873866304</v>
          </cell>
        </row>
        <row r="22">
          <cell r="K22">
            <v>0.21388333333333334</v>
          </cell>
        </row>
        <row r="23">
          <cell r="K23">
            <v>0.15948275862068967</v>
          </cell>
        </row>
        <row r="24">
          <cell r="K24">
            <v>0.26081483989452564</v>
          </cell>
        </row>
        <row r="25">
          <cell r="K25">
            <v>0.27500000000000002</v>
          </cell>
        </row>
        <row r="26">
          <cell r="K26">
            <v>0.26520247826018756</v>
          </cell>
          <cell r="M26">
            <v>0.20558940382884341</v>
          </cell>
        </row>
        <row r="27">
          <cell r="K27">
            <v>0.30297379192497215</v>
          </cell>
        </row>
        <row r="28">
          <cell r="K28">
            <v>0.13789107763615296</v>
          </cell>
        </row>
        <row r="29">
          <cell r="K29">
            <v>0.20291666666666666</v>
          </cell>
        </row>
        <row r="30">
          <cell r="K30">
            <v>0.44583333333333341</v>
          </cell>
        </row>
        <row r="31">
          <cell r="K31">
            <v>0.25</v>
          </cell>
        </row>
        <row r="32">
          <cell r="K32">
            <v>0.25159999999999999</v>
          </cell>
        </row>
        <row r="33">
          <cell r="K33">
            <v>0</v>
          </cell>
        </row>
        <row r="34">
          <cell r="K34">
            <v>0.2143569997651622</v>
          </cell>
          <cell r="M34">
            <v>0.12535549571208945</v>
          </cell>
        </row>
        <row r="35">
          <cell r="K35">
            <v>0.21968750000000001</v>
          </cell>
        </row>
        <row r="36">
          <cell r="K36">
            <v>0.47095833333333337</v>
          </cell>
        </row>
        <row r="37">
          <cell r="K37">
            <v>0.13305328807981076</v>
          </cell>
        </row>
        <row r="38">
          <cell r="K38">
            <v>0</v>
          </cell>
        </row>
        <row r="39">
          <cell r="K39">
            <v>0.20016200657894737</v>
          </cell>
        </row>
        <row r="40">
          <cell r="K40">
            <v>2.3449999999999999E-2</v>
          </cell>
        </row>
        <row r="41">
          <cell r="K41">
            <v>0.32221001221001222</v>
          </cell>
        </row>
        <row r="42">
          <cell r="K42">
            <v>0.25741666666666668</v>
          </cell>
        </row>
        <row r="43">
          <cell r="K43">
            <v>0.33088235294117646</v>
          </cell>
        </row>
        <row r="44">
          <cell r="K44">
            <v>0.15972222222222221</v>
          </cell>
        </row>
        <row r="45">
          <cell r="K45">
            <v>0.24038461538461539</v>
          </cell>
        </row>
        <row r="46">
          <cell r="K46">
            <v>0.28357478219025023</v>
          </cell>
          <cell r="M46">
            <v>0.25251661967012345</v>
          </cell>
        </row>
        <row r="47">
          <cell r="K47">
            <v>0.29578926734134092</v>
          </cell>
          <cell r="M47">
            <v>0.26592582694462413</v>
          </cell>
        </row>
        <row r="48">
          <cell r="K48">
            <v>0.15</v>
          </cell>
        </row>
        <row r="49">
          <cell r="K49">
            <v>0.69047619047619047</v>
          </cell>
        </row>
        <row r="50">
          <cell r="K50">
            <v>0.31760453817784751</v>
          </cell>
        </row>
        <row r="51">
          <cell r="K51">
            <v>0.43130491491989748</v>
          </cell>
        </row>
        <row r="52">
          <cell r="K52">
            <v>0.39682005385712021</v>
          </cell>
        </row>
        <row r="53">
          <cell r="K53">
            <v>0.14352564102564103</v>
          </cell>
        </row>
        <row r="54">
          <cell r="K54">
            <v>0.453101733447002</v>
          </cell>
        </row>
        <row r="55">
          <cell r="K55">
            <v>0.25908045977011496</v>
          </cell>
        </row>
        <row r="57">
          <cell r="K57">
            <v>0.38465732087227411</v>
          </cell>
        </row>
        <row r="58">
          <cell r="K58">
            <v>0.15194704049844235</v>
          </cell>
        </row>
        <row r="59">
          <cell r="K59">
            <v>0.24000359477124183</v>
          </cell>
        </row>
        <row r="60">
          <cell r="K60">
            <v>0.1677138157894737</v>
          </cell>
        </row>
        <row r="61">
          <cell r="K61">
            <v>0.27882352941176475</v>
          </cell>
        </row>
        <row r="62">
          <cell r="K62">
            <v>0</v>
          </cell>
        </row>
        <row r="63">
          <cell r="K63">
            <v>0.66756944444444444</v>
          </cell>
        </row>
        <row r="64">
          <cell r="K64">
            <v>0.22921261370670454</v>
          </cell>
          <cell r="M64">
            <v>0.21558039327044773</v>
          </cell>
        </row>
        <row r="65">
          <cell r="K65">
            <v>0.35563784112011365</v>
          </cell>
        </row>
        <row r="66">
          <cell r="K66">
            <v>0.14152380952380952</v>
          </cell>
        </row>
        <row r="67">
          <cell r="K67">
            <v>0.19047619047619047</v>
          </cell>
        </row>
        <row r="68">
          <cell r="K68">
            <v>0.1746377450980392</v>
          </cell>
          <cell r="M68">
            <v>0.14932529411764706</v>
          </cell>
        </row>
        <row r="69">
          <cell r="K69">
            <v>4.1099999999999998E-2</v>
          </cell>
        </row>
        <row r="70">
          <cell r="K70">
            <v>0.24345098039215687</v>
          </cell>
        </row>
        <row r="71">
          <cell r="K71">
            <v>0.24099999999999999</v>
          </cell>
        </row>
        <row r="72">
          <cell r="K72">
            <v>0.17299999999999999</v>
          </cell>
        </row>
        <row r="73">
          <cell r="K73">
            <v>0.30468955227047623</v>
          </cell>
          <cell r="M73">
            <v>0.25984040977313172</v>
          </cell>
        </row>
        <row r="74">
          <cell r="K74">
            <v>0.20194776135238096</v>
          </cell>
        </row>
        <row r="75">
          <cell r="K75">
            <v>0.45774999999999999</v>
          </cell>
        </row>
        <row r="76">
          <cell r="K76">
            <v>0.30625000000000002</v>
          </cell>
        </row>
        <row r="77">
          <cell r="K77">
            <v>0.27</v>
          </cell>
        </row>
        <row r="78">
          <cell r="K78">
            <v>0.28749999999999998</v>
          </cell>
        </row>
        <row r="79">
          <cell r="K79">
            <v>0</v>
          </cell>
        </row>
        <row r="80">
          <cell r="K80">
            <v>0.32618503263111615</v>
          </cell>
          <cell r="M80">
            <v>0.28962755963439352</v>
          </cell>
        </row>
        <row r="81">
          <cell r="K81">
            <v>0.29583333333333334</v>
          </cell>
        </row>
        <row r="82">
          <cell r="K82">
            <v>0.17125662544169612</v>
          </cell>
        </row>
        <row r="83">
          <cell r="K83">
            <v>0.36161627906976745</v>
          </cell>
        </row>
        <row r="84">
          <cell r="K84">
            <v>0.38292488450604123</v>
          </cell>
        </row>
        <row r="85">
          <cell r="K85">
            <v>0.25970491803278689</v>
          </cell>
        </row>
        <row r="86">
          <cell r="K86">
            <v>0.35400277777777778</v>
          </cell>
        </row>
        <row r="87">
          <cell r="K87">
            <v>0.45795641025641026</v>
          </cell>
        </row>
        <row r="88">
          <cell r="J88">
            <v>0.33997892066194169</v>
          </cell>
          <cell r="K88">
            <v>0.37093448209382435</v>
          </cell>
          <cell r="M88">
            <v>0.26231152970052202</v>
          </cell>
        </row>
        <row r="89">
          <cell r="K89">
            <v>0.36938472000473066</v>
          </cell>
        </row>
        <row r="90">
          <cell r="K90">
            <v>0.26897048611111107</v>
          </cell>
        </row>
        <row r="91">
          <cell r="K91">
            <v>0.47444824016563147</v>
          </cell>
        </row>
        <row r="92">
          <cell r="K92">
            <v>0.27017707911062067</v>
          </cell>
          <cell r="M92">
            <v>0.25050860314981654</v>
          </cell>
        </row>
        <row r="93">
          <cell r="K93">
            <v>0.3783333333333333</v>
          </cell>
          <cell r="M93">
            <v>0.32850000000000001</v>
          </cell>
        </row>
        <row r="94">
          <cell r="K94">
            <v>0.5</v>
          </cell>
        </row>
        <row r="95">
          <cell r="K95">
            <v>0.25666666666666665</v>
          </cell>
        </row>
        <row r="96">
          <cell r="K96">
            <v>0.36955295801526716</v>
          </cell>
          <cell r="M96">
            <v>0.52752194656488549</v>
          </cell>
        </row>
        <row r="97">
          <cell r="K97">
            <v>0.63124999999999998</v>
          </cell>
        </row>
        <row r="98">
          <cell r="K98">
            <v>0.35496183206106868</v>
          </cell>
        </row>
        <row r="99">
          <cell r="K99">
            <v>0.24199999999999999</v>
          </cell>
        </row>
        <row r="100">
          <cell r="K100">
            <v>0.25</v>
          </cell>
        </row>
        <row r="101">
          <cell r="K101">
            <v>0.31219487179487176</v>
          </cell>
        </row>
        <row r="102">
          <cell r="K102">
            <v>0.11370000000000001</v>
          </cell>
        </row>
        <row r="103">
          <cell r="K103">
            <v>0.3775</v>
          </cell>
        </row>
        <row r="104">
          <cell r="K104">
            <v>0.44538461538461538</v>
          </cell>
        </row>
        <row r="105">
          <cell r="K105">
            <v>0.13440625</v>
          </cell>
          <cell r="M105">
            <v>0.1233525</v>
          </cell>
        </row>
        <row r="106">
          <cell r="K106">
            <v>0.185</v>
          </cell>
        </row>
        <row r="107">
          <cell r="K107">
            <v>8.7124999999999994E-2</v>
          </cell>
        </row>
        <row r="108">
          <cell r="K108">
            <v>0.26550000000000001</v>
          </cell>
        </row>
        <row r="109">
          <cell r="K109">
            <v>0</v>
          </cell>
        </row>
        <row r="110">
          <cell r="K110">
            <v>0.16916666666666663</v>
          </cell>
          <cell r="M110">
            <v>0.16375000000000001</v>
          </cell>
        </row>
        <row r="111">
          <cell r="K111">
            <v>0</v>
          </cell>
        </row>
        <row r="112">
          <cell r="K112">
            <v>0</v>
          </cell>
        </row>
        <row r="113">
          <cell r="K113">
            <v>0.51249999999999996</v>
          </cell>
        </row>
        <row r="114">
          <cell r="K114">
            <v>0</v>
          </cell>
        </row>
        <row r="115">
          <cell r="K115">
            <v>0.33333333333333331</v>
          </cell>
        </row>
        <row r="116">
          <cell r="K116">
            <v>0.23817818229753918</v>
          </cell>
          <cell r="M116">
            <v>0.21525263088160634</v>
          </cell>
        </row>
        <row r="117">
          <cell r="K117">
            <v>0.30715959252971137</v>
          </cell>
        </row>
        <row r="118">
          <cell r="K118">
            <v>0.15737495436290616</v>
          </cell>
        </row>
        <row r="119">
          <cell r="K119">
            <v>0.25</v>
          </cell>
        </row>
        <row r="120">
          <cell r="K120">
            <v>0.24676666666666666</v>
          </cell>
          <cell r="M120">
            <v>0.19011249999999999</v>
          </cell>
        </row>
        <row r="121">
          <cell r="K121">
            <v>9.9999999999999992E-2</v>
          </cell>
        </row>
        <row r="122">
          <cell r="K122">
            <v>0.39353333333333335</v>
          </cell>
        </row>
        <row r="123">
          <cell r="K123">
            <v>0.26239975735212717</v>
          </cell>
          <cell r="M123">
            <v>0.20174333228533195</v>
          </cell>
        </row>
        <row r="124">
          <cell r="K124">
            <v>0.27085566891891893</v>
          </cell>
          <cell r="M124">
            <v>0.25944237108108109</v>
          </cell>
        </row>
        <row r="125">
          <cell r="K125">
            <v>0.2578125</v>
          </cell>
        </row>
        <row r="126">
          <cell r="K126">
            <v>0.28389883783783787</v>
          </cell>
        </row>
        <row r="127">
          <cell r="K127">
            <v>0.20083333333333336</v>
          </cell>
          <cell r="M127">
            <v>0.32068750000000001</v>
          </cell>
        </row>
        <row r="128">
          <cell r="K128">
            <v>0.1</v>
          </cell>
        </row>
        <row r="129">
          <cell r="K129">
            <v>0.30166666666666669</v>
          </cell>
        </row>
        <row r="130">
          <cell r="K130">
            <v>0.15049988888888891</v>
          </cell>
          <cell r="M130">
            <v>9.8146749999999991E-2</v>
          </cell>
        </row>
        <row r="131">
          <cell r="K131">
            <v>0.12639999999999998</v>
          </cell>
        </row>
        <row r="132">
          <cell r="K132">
            <v>0.10897444444444444</v>
          </cell>
        </row>
        <row r="133">
          <cell r="K133">
            <v>0.16750000000000001</v>
          </cell>
        </row>
        <row r="134">
          <cell r="K134">
            <v>0.26629166666666665</v>
          </cell>
        </row>
        <row r="135">
          <cell r="K135">
            <v>8.3333333333333329E-2</v>
          </cell>
        </row>
        <row r="136">
          <cell r="K136">
            <v>0.41110360120264539</v>
          </cell>
          <cell r="M136">
            <v>0.3779372351486594</v>
          </cell>
        </row>
        <row r="137">
          <cell r="K137">
            <v>0.32500000000000001</v>
          </cell>
        </row>
        <row r="138">
          <cell r="K138">
            <v>0.3529810606060606</v>
          </cell>
        </row>
        <row r="140">
          <cell r="K140">
            <v>0.42712068965517241</v>
          </cell>
        </row>
        <row r="141">
          <cell r="K141">
            <v>0.14285714285714285</v>
          </cell>
        </row>
        <row r="142">
          <cell r="K142">
            <v>0.63500000000000001</v>
          </cell>
        </row>
        <row r="143">
          <cell r="K143">
            <v>0.16314336734693877</v>
          </cell>
          <cell r="M143">
            <v>9.5123946428571443E-2</v>
          </cell>
        </row>
        <row r="144">
          <cell r="K144">
            <v>9.4430102040816324E-2</v>
          </cell>
        </row>
        <row r="145">
          <cell r="K145">
            <v>0.02</v>
          </cell>
        </row>
        <row r="146">
          <cell r="K146">
            <v>0.375</v>
          </cell>
        </row>
        <row r="147">
          <cell r="K147">
            <v>0.37391919805103979</v>
          </cell>
          <cell r="M147">
            <v>0.1413865782697985</v>
          </cell>
        </row>
        <row r="148">
          <cell r="K148">
            <v>0</v>
          </cell>
        </row>
        <row r="149">
          <cell r="K149">
            <v>0.54581547619047621</v>
          </cell>
        </row>
        <row r="150">
          <cell r="K150">
            <v>0</v>
          </cell>
        </row>
        <row r="151">
          <cell r="K151">
            <v>0.33406220779610435</v>
          </cell>
        </row>
        <row r="152">
          <cell r="K152">
            <v>0.61579910821757866</v>
          </cell>
        </row>
        <row r="153">
          <cell r="K153">
            <v>0.34122708333333335</v>
          </cell>
          <cell r="M153">
            <v>0.24618175</v>
          </cell>
        </row>
        <row r="154">
          <cell r="K154">
            <v>0.18507500000000002</v>
          </cell>
        </row>
        <row r="155">
          <cell r="K155">
            <v>0.60866666666666669</v>
          </cell>
        </row>
        <row r="156">
          <cell r="K156">
            <v>0.434</v>
          </cell>
        </row>
        <row r="157">
          <cell r="K157">
            <v>0.13716666666666669</v>
          </cell>
        </row>
        <row r="158">
          <cell r="K158">
            <v>0</v>
          </cell>
        </row>
        <row r="161">
          <cell r="J161">
            <v>0.21734598565460142</v>
          </cell>
          <cell r="K161">
            <v>0.25845384584399683</v>
          </cell>
          <cell r="M161">
            <v>0.24647581985093744</v>
          </cell>
        </row>
        <row r="162">
          <cell r="J162">
            <v>0.21</v>
          </cell>
          <cell r="K162">
            <v>0.19166666666666665</v>
          </cell>
          <cell r="M162">
            <v>0.208125</v>
          </cell>
        </row>
        <row r="163">
          <cell r="K163">
            <v>2.5000000000000001E-2</v>
          </cell>
        </row>
        <row r="164">
          <cell r="K164">
            <v>0.1875</v>
          </cell>
        </row>
        <row r="165">
          <cell r="K165">
            <v>0.36249999999999999</v>
          </cell>
        </row>
        <row r="166">
          <cell r="K166">
            <v>0.22116069173966579</v>
          </cell>
          <cell r="M166">
            <v>0.23451309458253802</v>
          </cell>
        </row>
        <row r="167">
          <cell r="K167">
            <v>0.44305555555555554</v>
          </cell>
        </row>
        <row r="168">
          <cell r="K168">
            <v>0.25</v>
          </cell>
        </row>
        <row r="169">
          <cell r="K169">
            <v>0.2147249647390691</v>
          </cell>
        </row>
        <row r="170">
          <cell r="K170">
            <v>0.3</v>
          </cell>
        </row>
        <row r="171">
          <cell r="K171">
            <v>0.16666666666666666</v>
          </cell>
        </row>
        <row r="172">
          <cell r="K172">
            <v>0.19500000000000001</v>
          </cell>
        </row>
        <row r="173">
          <cell r="K173">
            <v>0</v>
          </cell>
        </row>
        <row r="174">
          <cell r="K174">
            <v>0.19983834695603492</v>
          </cell>
        </row>
        <row r="175">
          <cell r="K175">
            <v>0.30645929363983626</v>
          </cell>
          <cell r="M175">
            <v>0.32167780464535306</v>
          </cell>
        </row>
        <row r="176">
          <cell r="K176">
            <v>0.36291858727967258</v>
          </cell>
        </row>
        <row r="177">
          <cell r="K177">
            <v>0.25</v>
          </cell>
        </row>
        <row r="178">
          <cell r="K178">
            <v>0.27789168183196844</v>
          </cell>
          <cell r="M178">
            <v>0.30658085759781617</v>
          </cell>
        </row>
        <row r="179">
          <cell r="K179">
            <v>0.3959167424931756</v>
          </cell>
        </row>
        <row r="180">
          <cell r="K180">
            <v>0.25562499999999999</v>
          </cell>
        </row>
        <row r="181">
          <cell r="K181">
            <v>0.27500000000000002</v>
          </cell>
        </row>
        <row r="182">
          <cell r="K182">
            <v>0.19416666666666665</v>
          </cell>
        </row>
        <row r="183">
          <cell r="K183">
            <v>0.26875000000000004</v>
          </cell>
        </row>
        <row r="184">
          <cell r="K184">
            <v>0.20161705435056146</v>
          </cell>
          <cell r="M184">
            <v>0.18265127235728812</v>
          </cell>
        </row>
        <row r="185">
          <cell r="K185">
            <v>0.41443843721447998</v>
          </cell>
        </row>
        <row r="186">
          <cell r="K186">
            <v>0.15999999999999998</v>
          </cell>
        </row>
        <row r="187">
          <cell r="K187">
            <v>0</v>
          </cell>
        </row>
        <row r="188">
          <cell r="K188">
            <v>0.21366666666666667</v>
          </cell>
        </row>
        <row r="189">
          <cell r="K189">
            <v>0.295375</v>
          </cell>
        </row>
        <row r="190">
          <cell r="K190">
            <v>0.12622222222222224</v>
          </cell>
        </row>
        <row r="191">
          <cell r="K191">
            <v>0.25033330230104422</v>
          </cell>
          <cell r="M191">
            <v>0.22981556695992181</v>
          </cell>
        </row>
        <row r="192">
          <cell r="K192">
            <v>0.29666666666666669</v>
          </cell>
        </row>
        <row r="193">
          <cell r="K193">
            <v>0.24052272727272728</v>
          </cell>
        </row>
        <row r="194">
          <cell r="K194">
            <v>0.26828264208909369</v>
          </cell>
        </row>
        <row r="195">
          <cell r="K195">
            <v>0.31111111111111112</v>
          </cell>
        </row>
        <row r="196">
          <cell r="K196">
            <v>0.19791666666666666</v>
          </cell>
        </row>
        <row r="197">
          <cell r="K197">
            <v>0.1875</v>
          </cell>
        </row>
        <row r="198">
          <cell r="K198">
            <v>6.9685846560846545E-2</v>
          </cell>
          <cell r="M198">
            <v>3.4556250000000004E-2</v>
          </cell>
        </row>
        <row r="199">
          <cell r="K199">
            <v>6.974206349206348E-2</v>
          </cell>
          <cell r="M199">
            <v>3.5866666666666672E-2</v>
          </cell>
        </row>
        <row r="200">
          <cell r="K200">
            <v>0.15208333333333332</v>
          </cell>
        </row>
        <row r="201">
          <cell r="K201">
            <v>0</v>
          </cell>
        </row>
        <row r="202">
          <cell r="K202">
            <v>5.7142857142857141E-2</v>
          </cell>
        </row>
        <row r="203">
          <cell r="K203">
            <v>6.9629629629629611E-2</v>
          </cell>
          <cell r="M203">
            <v>3.0624999999999999E-2</v>
          </cell>
        </row>
        <row r="204">
          <cell r="K204">
            <v>0.13888888888888887</v>
          </cell>
        </row>
        <row r="205">
          <cell r="K205">
            <v>0</v>
          </cell>
        </row>
        <row r="206">
          <cell r="K206">
            <v>6.9999999999999993E-2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row r="2">
          <cell r="B2">
            <v>0.35514705882352937</v>
          </cell>
        </row>
        <row r="3">
          <cell r="B3">
            <v>0.39456388039163154</v>
          </cell>
        </row>
        <row r="4">
          <cell r="B4">
            <v>0.78099999999999992</v>
          </cell>
        </row>
        <row r="5">
          <cell r="B5">
            <v>0.14800000000000002</v>
          </cell>
        </row>
        <row r="6">
          <cell r="B6">
            <v>0.24820393974507535</v>
          </cell>
        </row>
        <row r="7">
          <cell r="B7">
            <v>0.14335000000000001</v>
          </cell>
        </row>
        <row r="8">
          <cell r="B8">
            <v>0.151</v>
          </cell>
        </row>
        <row r="9">
          <cell r="B9">
            <v>2.5000000000000001E-2</v>
          </cell>
        </row>
        <row r="10">
          <cell r="B10">
            <v>0</v>
          </cell>
        </row>
        <row r="11">
          <cell r="B11">
            <v>0</v>
          </cell>
        </row>
        <row r="12">
          <cell r="B12">
            <v>7.375000000000001E-2</v>
          </cell>
        </row>
        <row r="13">
          <cell r="B13">
            <v>0.20570526315789472</v>
          </cell>
        </row>
        <row r="14">
          <cell r="B14">
            <v>0.17424999999999999</v>
          </cell>
        </row>
        <row r="15">
          <cell r="B15">
            <v>0.10614285714285715</v>
          </cell>
        </row>
        <row r="16">
          <cell r="B16">
            <v>0.75238095238095237</v>
          </cell>
        </row>
        <row r="17">
          <cell r="B17">
            <v>6.6166666666666665E-2</v>
          </cell>
        </row>
        <row r="18">
          <cell r="B18">
            <v>0.22035277777777779</v>
          </cell>
        </row>
        <row r="19">
          <cell r="B19">
            <v>7.0349999999999996E-3</v>
          </cell>
        </row>
        <row r="20">
          <cell r="B20">
            <v>3.3340000000000002E-2</v>
          </cell>
        </row>
        <row r="21">
          <cell r="B21">
            <v>0.24583333333333335</v>
          </cell>
        </row>
        <row r="22">
          <cell r="B22">
            <v>0.15775</v>
          </cell>
        </row>
        <row r="23">
          <cell r="B23">
            <v>0.13625000000000004</v>
          </cell>
        </row>
        <row r="24">
          <cell r="B24">
            <v>0.38375000000000004</v>
          </cell>
        </row>
        <row r="25">
          <cell r="B25">
            <v>0.33749999999999997</v>
          </cell>
        </row>
        <row r="26">
          <cell r="B26">
            <v>0.47766974358974362</v>
          </cell>
        </row>
        <row r="27">
          <cell r="B27">
            <v>0.40166666666666662</v>
          </cell>
        </row>
        <row r="28">
          <cell r="B28">
            <v>0.19040000000000001</v>
          </cell>
        </row>
        <row r="29">
          <cell r="B29">
            <v>0.146425</v>
          </cell>
        </row>
        <row r="30">
          <cell r="B30">
            <v>0.24750000000000003</v>
          </cell>
        </row>
        <row r="31">
          <cell r="B31">
            <v>0.3129859335038363</v>
          </cell>
        </row>
        <row r="32">
          <cell r="B32">
            <v>0.18148717948717949</v>
          </cell>
        </row>
        <row r="33">
          <cell r="B33">
            <v>0.25094117647058822</v>
          </cell>
        </row>
        <row r="34">
          <cell r="B34">
            <v>0.27500000000000002</v>
          </cell>
        </row>
        <row r="35">
          <cell r="B35">
            <v>0.21</v>
          </cell>
        </row>
        <row r="36">
          <cell r="B36">
            <v>1.1966666666666668</v>
          </cell>
        </row>
        <row r="37">
          <cell r="B37">
            <v>0.36899999999999999</v>
          </cell>
        </row>
        <row r="38">
          <cell r="B38">
            <v>0.26875000000000004</v>
          </cell>
        </row>
        <row r="39">
          <cell r="B39">
            <v>0.01</v>
          </cell>
        </row>
        <row r="40">
          <cell r="B40">
            <v>0.35532727272727277</v>
          </cell>
        </row>
        <row r="41">
          <cell r="B41">
            <v>0.38396946564885492</v>
          </cell>
        </row>
        <row r="42">
          <cell r="B42">
            <v>0.59549999999999992</v>
          </cell>
        </row>
        <row r="43">
          <cell r="B43">
            <v>7.6466666666666683E-2</v>
          </cell>
        </row>
        <row r="44">
          <cell r="B44">
            <v>0.38600000000000001</v>
          </cell>
        </row>
        <row r="45">
          <cell r="B45">
            <v>0.44538461538461538</v>
          </cell>
        </row>
        <row r="46">
          <cell r="B46">
            <v>0.27</v>
          </cell>
        </row>
        <row r="47">
          <cell r="B47">
            <v>0.22916000000000003</v>
          </cell>
        </row>
        <row r="48">
          <cell r="B48">
            <v>0.17574218750000001</v>
          </cell>
        </row>
        <row r="49">
          <cell r="B49">
            <v>0.16666666666666666</v>
          </cell>
        </row>
        <row r="50">
          <cell r="B50">
            <v>0</v>
          </cell>
        </row>
        <row r="51">
          <cell r="B51">
            <v>4.0000000000000008E-2</v>
          </cell>
        </row>
        <row r="52">
          <cell r="B52">
            <v>0.15833333333333333</v>
          </cell>
        </row>
        <row r="53">
          <cell r="B53">
            <v>0.32931501831501825</v>
          </cell>
        </row>
        <row r="54">
          <cell r="B54">
            <v>0.21999999999999997</v>
          </cell>
        </row>
        <row r="56">
          <cell r="B56">
            <v>0.25921388888888885</v>
          </cell>
        </row>
        <row r="57">
          <cell r="B57">
            <v>0.64999999999999991</v>
          </cell>
        </row>
        <row r="58">
          <cell r="B58">
            <v>9.4384999999999997E-2</v>
          </cell>
        </row>
        <row r="59">
          <cell r="B59">
            <v>0.17771416533617174</v>
          </cell>
        </row>
        <row r="60">
          <cell r="B60">
            <v>0.12517636591043887</v>
          </cell>
        </row>
        <row r="61">
          <cell r="B61">
            <v>0.26875000000000004</v>
          </cell>
        </row>
        <row r="62">
          <cell r="B62">
            <v>0.40093061935688268</v>
          </cell>
        </row>
        <row r="63">
          <cell r="B63">
            <v>0.1201949616648412</v>
          </cell>
        </row>
        <row r="64">
          <cell r="B64">
            <v>0.18225927561837454</v>
          </cell>
        </row>
        <row r="65">
          <cell r="B65">
            <v>0</v>
          </cell>
        </row>
        <row r="66">
          <cell r="B66">
            <v>0.34112500000000001</v>
          </cell>
        </row>
        <row r="67">
          <cell r="B67">
            <v>0.60631944444444441</v>
          </cell>
        </row>
        <row r="68">
          <cell r="B68">
            <v>0.3801401869158878</v>
          </cell>
        </row>
        <row r="69">
          <cell r="B69">
            <v>0.2153430793991416</v>
          </cell>
        </row>
        <row r="70">
          <cell r="B70">
            <v>0.10187067756482795</v>
          </cell>
        </row>
        <row r="71">
          <cell r="B71">
            <v>0.19542056074766356</v>
          </cell>
        </row>
        <row r="72">
          <cell r="B72">
            <v>0.35626279069767441</v>
          </cell>
        </row>
        <row r="73">
          <cell r="B73">
            <v>6.3793103448275865E-2</v>
          </cell>
        </row>
        <row r="74">
          <cell r="B74">
            <v>0.2885664090262971</v>
          </cell>
        </row>
        <row r="75">
          <cell r="B75">
            <v>0.25970491803278689</v>
          </cell>
        </row>
        <row r="76">
          <cell r="B76">
            <v>0</v>
          </cell>
        </row>
        <row r="77">
          <cell r="B77">
            <v>0.24230769230769231</v>
          </cell>
        </row>
        <row r="78">
          <cell r="B78">
            <v>0.16944444444444445</v>
          </cell>
        </row>
        <row r="79">
          <cell r="B79">
            <v>0.29583333333333334</v>
          </cell>
        </row>
        <row r="80">
          <cell r="B80">
            <v>6.6666666666666666E-2</v>
          </cell>
        </row>
        <row r="81">
          <cell r="B81">
            <v>0.1875</v>
          </cell>
        </row>
        <row r="82">
          <cell r="B82">
            <v>0</v>
          </cell>
        </row>
        <row r="83">
          <cell r="B83">
            <v>0.32545032067931901</v>
          </cell>
        </row>
        <row r="84">
          <cell r="B84">
            <v>0.26044999999999996</v>
          </cell>
        </row>
        <row r="85">
          <cell r="B85">
            <v>0.10056933333333333</v>
          </cell>
        </row>
        <row r="86">
          <cell r="B86">
            <v>8.3283750000000004E-2</v>
          </cell>
        </row>
        <row r="87">
          <cell r="B87">
            <v>0.8</v>
          </cell>
        </row>
        <row r="88">
          <cell r="B88">
            <v>6.9666666666666668E-2</v>
          </cell>
        </row>
        <row r="89">
          <cell r="B89">
            <v>0</v>
          </cell>
        </row>
        <row r="90">
          <cell r="B90">
            <v>0.25</v>
          </cell>
        </row>
        <row r="91">
          <cell r="B91">
            <v>0.15378125000000001</v>
          </cell>
        </row>
        <row r="92">
          <cell r="B92">
            <v>0.30715959252971137</v>
          </cell>
        </row>
        <row r="93">
          <cell r="B93">
            <v>0</v>
          </cell>
        </row>
        <row r="94">
          <cell r="B94">
            <v>0.15668414473684211</v>
          </cell>
        </row>
        <row r="95">
          <cell r="B95">
            <v>0.28400950000000003</v>
          </cell>
        </row>
        <row r="96">
          <cell r="B96">
            <v>0</v>
          </cell>
        </row>
        <row r="97">
          <cell r="B97">
            <v>0.29315510752688173</v>
          </cell>
        </row>
        <row r="98">
          <cell r="B98">
            <v>0.25802750000000002</v>
          </cell>
        </row>
        <row r="99">
          <cell r="B99">
            <v>0.47346501035196686</v>
          </cell>
        </row>
        <row r="100">
          <cell r="B100">
            <v>0.22135057471264369</v>
          </cell>
        </row>
        <row r="101">
          <cell r="B101">
            <v>0.34100862068965521</v>
          </cell>
        </row>
        <row r="102">
          <cell r="B102">
            <v>0.30189198330677819</v>
          </cell>
        </row>
        <row r="103">
          <cell r="B103">
            <v>0.25</v>
          </cell>
        </row>
        <row r="104">
          <cell r="B104">
            <v>0</v>
          </cell>
        </row>
        <row r="105">
          <cell r="B105">
            <v>0.24345098039215687</v>
          </cell>
        </row>
        <row r="106">
          <cell r="B106">
            <v>0.24099999999999999</v>
          </cell>
        </row>
        <row r="107">
          <cell r="B107">
            <v>0.3775</v>
          </cell>
        </row>
        <row r="108">
          <cell r="B108">
            <v>7.8800000000000009E-2</v>
          </cell>
        </row>
        <row r="109">
          <cell r="B109">
            <v>0.44041666666666668</v>
          </cell>
        </row>
        <row r="110">
          <cell r="B110">
            <v>0.16166666666666668</v>
          </cell>
        </row>
        <row r="111">
          <cell r="B111">
            <v>0.27791111632027071</v>
          </cell>
        </row>
        <row r="112">
          <cell r="B112">
            <v>5.2499999999999998E-2</v>
          </cell>
        </row>
        <row r="113">
          <cell r="B113">
            <v>0.375</v>
          </cell>
        </row>
        <row r="114">
          <cell r="B114">
            <v>0</v>
          </cell>
        </row>
        <row r="115">
          <cell r="B115">
            <v>9.7500000000000003E-2</v>
          </cell>
        </row>
        <row r="116">
          <cell r="B116">
            <v>0.382994593493032</v>
          </cell>
        </row>
        <row r="117">
          <cell r="B117">
            <v>0.14799999999999999</v>
          </cell>
        </row>
        <row r="118">
          <cell r="B118">
            <v>0.20865</v>
          </cell>
        </row>
        <row r="119">
          <cell r="B119">
            <v>0.18272496473906913</v>
          </cell>
        </row>
        <row r="120">
          <cell r="B120">
            <v>0.10250000000000001</v>
          </cell>
        </row>
        <row r="121">
          <cell r="B121">
            <v>0.32500000000000001</v>
          </cell>
        </row>
        <row r="122">
          <cell r="B122">
            <v>0.29333333333333333</v>
          </cell>
        </row>
        <row r="123">
          <cell r="B123">
            <v>0</v>
          </cell>
        </row>
        <row r="124">
          <cell r="B124">
            <v>8.7499999999999991E-3</v>
          </cell>
        </row>
        <row r="125">
          <cell r="B125">
            <v>0.3529713888888889</v>
          </cell>
        </row>
        <row r="126">
          <cell r="B126">
            <v>0.4375</v>
          </cell>
        </row>
        <row r="127">
          <cell r="B127">
            <v>0.23778749999999998</v>
          </cell>
        </row>
        <row r="129">
          <cell r="B129">
            <v>0.14285714285714285</v>
          </cell>
        </row>
        <row r="130">
          <cell r="B130">
            <v>0.79849999999999999</v>
          </cell>
        </row>
        <row r="131">
          <cell r="B131">
            <v>0.31600000000000006</v>
          </cell>
        </row>
        <row r="132">
          <cell r="B132">
            <v>0.20211907027027029</v>
          </cell>
        </row>
        <row r="133">
          <cell r="B133">
            <v>0.375</v>
          </cell>
        </row>
        <row r="134">
          <cell r="B134">
            <v>0.3</v>
          </cell>
        </row>
        <row r="135">
          <cell r="B135">
            <v>0.62548089591567846</v>
          </cell>
        </row>
        <row r="137">
          <cell r="B137">
            <v>0.211759440843759</v>
          </cell>
        </row>
        <row r="138">
          <cell r="B138">
            <v>0.33227499999999999</v>
          </cell>
        </row>
        <row r="139">
          <cell r="B139">
            <v>0.25787869115937234</v>
          </cell>
        </row>
        <row r="140">
          <cell r="B140">
            <v>0.14611666666666664</v>
          </cell>
        </row>
        <row r="141">
          <cell r="B141">
            <v>0.15</v>
          </cell>
        </row>
        <row r="142">
          <cell r="B142">
            <v>0.16513095708879477</v>
          </cell>
        </row>
        <row r="143">
          <cell r="B143">
            <v>0.77499999999999991</v>
          </cell>
        </row>
        <row r="144">
          <cell r="B144">
            <v>0</v>
          </cell>
        </row>
        <row r="145">
          <cell r="B145">
            <v>0.46846678798908098</v>
          </cell>
        </row>
        <row r="146">
          <cell r="B146">
            <v>0</v>
          </cell>
        </row>
        <row r="147">
          <cell r="B147">
            <v>0.1875</v>
          </cell>
        </row>
        <row r="148">
          <cell r="B148">
            <v>0.23404772727272727</v>
          </cell>
        </row>
        <row r="149">
          <cell r="B149">
            <v>0</v>
          </cell>
        </row>
        <row r="150">
          <cell r="B150">
            <v>0.1180532142857143</v>
          </cell>
        </row>
        <row r="151">
          <cell r="B151">
            <v>3.2083333333333332E-2</v>
          </cell>
        </row>
        <row r="152">
          <cell r="B152">
            <v>0.13250000000000001</v>
          </cell>
        </row>
        <row r="153">
          <cell r="B153">
            <v>0.6</v>
          </cell>
        </row>
        <row r="154">
          <cell r="B154">
            <v>0.21249999999999999</v>
          </cell>
        </row>
        <row r="155">
          <cell r="B155">
            <v>0.49849955410878943</v>
          </cell>
        </row>
        <row r="156">
          <cell r="B156">
            <v>0</v>
          </cell>
        </row>
        <row r="157">
          <cell r="B157">
            <v>0.55504000000000009</v>
          </cell>
        </row>
        <row r="158">
          <cell r="B158">
            <v>0.19800000000000001</v>
          </cell>
        </row>
        <row r="159">
          <cell r="B159">
            <v>0.15592630718954248</v>
          </cell>
        </row>
        <row r="160">
          <cell r="B160">
            <v>0.85250000000000004</v>
          </cell>
        </row>
        <row r="161">
          <cell r="B161">
            <v>0.13333333333333333</v>
          </cell>
        </row>
        <row r="162">
          <cell r="B162">
            <v>0.45</v>
          </cell>
        </row>
        <row r="163">
          <cell r="B163">
            <v>4.1099999999999998E-2</v>
          </cell>
        </row>
        <row r="164">
          <cell r="B164">
            <v>0.45714235707833262</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01"/>
  <sheetViews>
    <sheetView zoomScale="30" zoomScaleNormal="30" workbookViewId="0">
      <pane xSplit="3" ySplit="2" topLeftCell="D183" activePane="bottomRight" state="frozen"/>
      <selection activeCell="K14" sqref="K14"/>
      <selection pane="topRight" activeCell="K14" sqref="K14"/>
      <selection pane="bottomLeft" activeCell="K14" sqref="K14"/>
      <selection pane="bottomRight" activeCell="F186" sqref="F186"/>
    </sheetView>
  </sheetViews>
  <sheetFormatPr baseColWidth="10" defaultColWidth="14.44140625" defaultRowHeight="15" customHeight="1" x14ac:dyDescent="0.4"/>
  <cols>
    <col min="1" max="1" width="3.5546875" style="183" customWidth="1"/>
    <col min="2" max="2" width="55.77734375" style="333" customWidth="1"/>
    <col min="3" max="3" width="72.44140625" style="333" customWidth="1"/>
    <col min="4" max="4" width="57.44140625" style="183" customWidth="1"/>
    <col min="5" max="5" width="24.77734375" style="333" customWidth="1"/>
    <col min="6" max="6" width="28.5546875" style="333" customWidth="1"/>
    <col min="7" max="8" width="35.88671875" style="333" customWidth="1"/>
    <col min="9" max="9" width="37.33203125" style="333" customWidth="1"/>
    <col min="10" max="10" width="38.88671875" style="333" customWidth="1"/>
    <col min="11" max="11" width="36.6640625" style="333" customWidth="1"/>
    <col min="12" max="12" width="43.33203125" style="333" customWidth="1"/>
    <col min="13" max="13" width="36.21875" style="333" customWidth="1"/>
    <col min="14" max="14" width="33.6640625" style="333" customWidth="1"/>
    <col min="15" max="15" width="35.5546875" style="333" customWidth="1"/>
    <col min="16" max="16" width="37.21875" style="333" customWidth="1"/>
    <col min="17" max="18" width="34.77734375" style="333" customWidth="1"/>
    <col min="19" max="19" width="30.88671875" style="333" customWidth="1"/>
    <col min="20" max="20" width="36.109375" style="333" customWidth="1"/>
    <col min="21" max="21" width="38.77734375" style="333" customWidth="1"/>
    <col min="22" max="22" width="36.5546875" style="333" customWidth="1"/>
    <col min="23" max="23" width="35.109375" style="333" hidden="1" customWidth="1"/>
    <col min="24" max="24" width="38.77734375" style="333" customWidth="1"/>
    <col min="25" max="25" width="37.5546875" style="333" customWidth="1"/>
    <col min="26" max="26" width="38.109375" style="333" customWidth="1"/>
    <col min="27" max="28" width="37.109375" style="333" customWidth="1"/>
    <col min="29" max="29" width="54.88671875" style="294" hidden="1" customWidth="1"/>
    <col min="30" max="30" width="69.33203125" style="183" hidden="1" customWidth="1"/>
    <col min="31" max="31" width="66.33203125" style="183" hidden="1" customWidth="1"/>
    <col min="32" max="32" width="82.109375" style="183" hidden="1" customWidth="1"/>
    <col min="33" max="34" width="65.109375" style="183" hidden="1" customWidth="1"/>
    <col min="35" max="35" width="60" style="183" hidden="1" customWidth="1"/>
    <col min="36" max="36" width="31.44140625" style="183" customWidth="1"/>
    <col min="37" max="43" width="10.6640625" style="183" customWidth="1"/>
    <col min="44" max="16384" width="14.44140625" style="183"/>
  </cols>
  <sheetData>
    <row r="1" spans="1:36" ht="21" customHeight="1" thickBot="1" x14ac:dyDescent="0.45">
      <c r="A1" s="444"/>
      <c r="B1" s="331"/>
      <c r="C1" s="331"/>
      <c r="D1" s="445"/>
      <c r="E1" s="461"/>
      <c r="F1" s="461"/>
      <c r="G1" s="331"/>
      <c r="H1" s="331"/>
      <c r="I1" s="331"/>
      <c r="J1" s="331"/>
      <c r="K1" s="331"/>
      <c r="L1" s="331"/>
      <c r="M1" s="462"/>
      <c r="N1" s="462"/>
      <c r="O1" s="462"/>
      <c r="P1" s="462"/>
      <c r="Q1" s="462"/>
      <c r="R1" s="462"/>
      <c r="S1" s="462"/>
      <c r="T1" s="462"/>
      <c r="U1" s="538"/>
      <c r="V1" s="538"/>
      <c r="W1" s="331"/>
      <c r="X1" s="331"/>
      <c r="Y1" s="331"/>
      <c r="Z1" s="553"/>
      <c r="AA1" s="553"/>
      <c r="AB1" s="666"/>
      <c r="AC1" s="446"/>
      <c r="AD1" s="447"/>
      <c r="AE1" s="181"/>
      <c r="AF1" s="181"/>
      <c r="AG1" s="181"/>
      <c r="AH1" s="181"/>
      <c r="AI1" s="180"/>
      <c r="AJ1" s="180"/>
    </row>
    <row r="2" spans="1:36" ht="223.2" customHeight="1" thickBot="1" x14ac:dyDescent="0.45">
      <c r="A2" s="184"/>
      <c r="B2" s="1294" t="s">
        <v>0</v>
      </c>
      <c r="C2" s="1295"/>
      <c r="D2" s="335" t="s">
        <v>1</v>
      </c>
      <c r="E2" s="336" t="s">
        <v>2</v>
      </c>
      <c r="F2" s="337" t="s">
        <v>3</v>
      </c>
      <c r="G2" s="337" t="s">
        <v>4</v>
      </c>
      <c r="H2" s="337" t="s">
        <v>1873</v>
      </c>
      <c r="I2" s="337" t="s">
        <v>5</v>
      </c>
      <c r="J2" s="337" t="s">
        <v>1874</v>
      </c>
      <c r="K2" s="338" t="s">
        <v>6</v>
      </c>
      <c r="L2" s="338" t="s">
        <v>1875</v>
      </c>
      <c r="M2" s="339" t="s">
        <v>1847</v>
      </c>
      <c r="N2" s="1157" t="s">
        <v>1876</v>
      </c>
      <c r="O2" s="1157" t="s">
        <v>1878</v>
      </c>
      <c r="P2" s="1157" t="s">
        <v>1877</v>
      </c>
      <c r="Q2" s="1157" t="s">
        <v>2442</v>
      </c>
      <c r="R2" s="1157" t="s">
        <v>2486</v>
      </c>
      <c r="S2" s="1157" t="s">
        <v>1879</v>
      </c>
      <c r="T2" s="1157" t="s">
        <v>1880</v>
      </c>
      <c r="U2" s="539" t="s">
        <v>7</v>
      </c>
      <c r="V2" s="1196" t="s">
        <v>2487</v>
      </c>
      <c r="W2" s="464" t="s">
        <v>8</v>
      </c>
      <c r="X2" s="1198" t="s">
        <v>2489</v>
      </c>
      <c r="Y2" s="463" t="s">
        <v>1882</v>
      </c>
      <c r="Z2" s="1197" t="s">
        <v>2488</v>
      </c>
      <c r="AA2" s="667" t="s">
        <v>1849</v>
      </c>
      <c r="AB2" s="1198" t="s">
        <v>2490</v>
      </c>
      <c r="AC2" s="340" t="s">
        <v>2491</v>
      </c>
      <c r="AD2" s="600" t="s">
        <v>1883</v>
      </c>
      <c r="AE2" s="601" t="s">
        <v>2298</v>
      </c>
      <c r="AF2" s="1082" t="s">
        <v>2299</v>
      </c>
      <c r="AG2" s="1083" t="s">
        <v>2351</v>
      </c>
      <c r="AH2" s="1083" t="s">
        <v>2443</v>
      </c>
      <c r="AI2" s="1083" t="s">
        <v>1881</v>
      </c>
      <c r="AJ2" s="180"/>
    </row>
    <row r="3" spans="1:36" ht="96.6" customHeight="1" thickBot="1" x14ac:dyDescent="0.45">
      <c r="A3" s="301"/>
      <c r="B3" s="1296" t="s">
        <v>1592</v>
      </c>
      <c r="C3" s="1297"/>
      <c r="D3" s="448"/>
      <c r="E3" s="465">
        <v>0.3</v>
      </c>
      <c r="F3" s="466"/>
      <c r="G3" s="467"/>
      <c r="H3" s="467"/>
      <c r="I3" s="468">
        <f>+(I4+I31+I91+I130+I171)/5</f>
        <v>0.27144914611233045</v>
      </c>
      <c r="J3" s="468">
        <f>+(J4+J31+J91+J130+J171)/5</f>
        <v>0.37391117816579211</v>
      </c>
      <c r="K3" s="469">
        <f>+(K4+K31+K91+K130+K171)/5</f>
        <v>0.1963447624265218</v>
      </c>
      <c r="L3" s="469">
        <f>+(L4+L31+L91+L130+L171)/5</f>
        <v>0.2531166550657612</v>
      </c>
      <c r="M3" s="470"/>
      <c r="N3" s="470"/>
      <c r="O3" s="470"/>
      <c r="P3" s="470"/>
      <c r="Q3" s="470"/>
      <c r="R3" s="470"/>
      <c r="S3" s="470"/>
      <c r="T3" s="470"/>
      <c r="U3" s="831">
        <f>+(U4+U31+U91+U130+U171)/5</f>
        <v>0.84423613286457644</v>
      </c>
      <c r="V3" s="831">
        <f>+(V4+V31+V91+V130+V171)/5</f>
        <v>0.8432679950416061</v>
      </c>
      <c r="W3" s="832">
        <f>+F4+F31+F91+F130+F171</f>
        <v>0.66052564143691994</v>
      </c>
      <c r="X3" s="833">
        <f>+H4+H31+H91+H130+H171</f>
        <v>0.68102529556095548</v>
      </c>
      <c r="Y3" s="834">
        <f>+(Y4+Y31+Y91+Y130+Y171)/5</f>
        <v>0.25488092957220809</v>
      </c>
      <c r="Z3" s="973">
        <f>+(Z4+Z31+Z91+Z130+Z171)/5</f>
        <v>0.52039961510956811</v>
      </c>
      <c r="AA3" s="835">
        <f>+(AA4+AA31+AA91+AA130+AA171)/5</f>
        <v>0.21296825159703686</v>
      </c>
      <c r="AB3" s="843">
        <f>+(AB4*E4)+(AB31*E31)+(AB91*E91)+(AB130*E130)+(AB171*E171)</f>
        <v>0.4762878624287053</v>
      </c>
      <c r="AC3" s="668"/>
      <c r="AD3" s="448"/>
      <c r="AE3" s="448"/>
      <c r="AF3" s="448"/>
      <c r="AG3" s="448"/>
      <c r="AH3" s="1158"/>
      <c r="AI3" s="225"/>
      <c r="AJ3" s="186"/>
    </row>
    <row r="4" spans="1:36" ht="64.5" customHeight="1" thickBot="1" x14ac:dyDescent="0.45">
      <c r="A4" s="301"/>
      <c r="B4" s="1298" t="s">
        <v>9</v>
      </c>
      <c r="C4" s="1299"/>
      <c r="D4" s="449"/>
      <c r="E4" s="471">
        <v>0.25</v>
      </c>
      <c r="F4" s="472">
        <f>+E4*W4</f>
        <v>0.13864386792452829</v>
      </c>
      <c r="G4" s="467"/>
      <c r="H4" s="828">
        <f>E4*X4</f>
        <v>0.1292260512324746</v>
      </c>
      <c r="I4" s="473">
        <f>+(I5+I12+I16+I23+I26)/5</f>
        <v>0.40844696306703598</v>
      </c>
      <c r="J4" s="473">
        <f>+(J5+J12+J16+J23+J26)/5</f>
        <v>0.48443538520711044</v>
      </c>
      <c r="K4" s="474">
        <f>+(K5+K12+K16+K23+K26)/5</f>
        <v>0.35458117744760276</v>
      </c>
      <c r="L4" s="474">
        <f>+(L5+L12+L16+L23+L26)/5</f>
        <v>0.27871913155614692</v>
      </c>
      <c r="M4" s="475"/>
      <c r="N4" s="475"/>
      <c r="O4" s="540"/>
      <c r="P4" s="540"/>
      <c r="Q4" s="540"/>
      <c r="R4" s="540"/>
      <c r="S4" s="540"/>
      <c r="T4" s="540"/>
      <c r="U4" s="473">
        <f>+(U5+U12+U16+U23+U26)/5</f>
        <v>0.82393081761006282</v>
      </c>
      <c r="V4" s="473">
        <f>+(V5+V12+V16+V23+V26)/5</f>
        <v>0.77851983833052174</v>
      </c>
      <c r="W4" s="474">
        <f>+W5+W12+W16+W23+W26</f>
        <v>0.55457547169811316</v>
      </c>
      <c r="X4" s="554">
        <f>+X5+X12+X16+X23+X26</f>
        <v>0.51690420492989841</v>
      </c>
      <c r="Y4" s="555">
        <f>+(Y5+Y12+Y16+Y23+Y26)/5</f>
        <v>0.40033301822466277</v>
      </c>
      <c r="Z4" s="555">
        <f>+(Z5+Z12+Z16+Z23+Z26)/5</f>
        <v>0.64063194152581171</v>
      </c>
      <c r="AA4" s="554">
        <f>+AA5+AA12+AA16+AA23+AA26</f>
        <v>0.34369348640612268</v>
      </c>
      <c r="AB4" s="674">
        <f>+(AB5*E5)+(AB12*E12)+(AB16*E16)+(AB23*E23)+(AB26*E26)</f>
        <v>0.56618942768161484</v>
      </c>
      <c r="AC4" s="193"/>
      <c r="AD4" s="450"/>
      <c r="AE4" s="450"/>
      <c r="AF4" s="450"/>
      <c r="AG4" s="450"/>
      <c r="AH4" s="450"/>
      <c r="AI4" s="225"/>
      <c r="AJ4" s="180"/>
    </row>
    <row r="5" spans="1:36" ht="123.6" customHeight="1" thickBot="1" x14ac:dyDescent="0.4">
      <c r="A5" s="301"/>
      <c r="B5" s="457" t="s">
        <v>1593</v>
      </c>
      <c r="C5" s="458"/>
      <c r="D5" s="451"/>
      <c r="E5" s="476">
        <v>0.35</v>
      </c>
      <c r="F5" s="477"/>
      <c r="G5" s="477"/>
      <c r="H5" s="477"/>
      <c r="I5" s="478">
        <f>+AVERAGE(I6:I11)</f>
        <v>0.37666666666666665</v>
      </c>
      <c r="J5" s="478">
        <f>+AVERAGE(J6:J11)</f>
        <v>0.38750000000000001</v>
      </c>
      <c r="K5" s="478">
        <f>+K6+K7+K8+K9+K10+K11</f>
        <v>0.26083333333333331</v>
      </c>
      <c r="L5" s="478">
        <f>+L6+L7+L8+L9+L10+L11</f>
        <v>0.17749999999999999</v>
      </c>
      <c r="M5" s="479"/>
      <c r="N5" s="485"/>
      <c r="O5" s="485"/>
      <c r="P5" s="485"/>
      <c r="Q5" s="485"/>
      <c r="R5" s="485"/>
      <c r="S5" s="485"/>
      <c r="T5" s="485"/>
      <c r="U5" s="544">
        <f>+AVERAGE(U6:U11)</f>
        <v>0.6</v>
      </c>
      <c r="V5" s="544">
        <f>+AVERAGE(V6:V11)</f>
        <v>0.75</v>
      </c>
      <c r="W5" s="544">
        <f>+(W6+W7+W8+W9+W10+W11)*E5</f>
        <v>0.17499999999999999</v>
      </c>
      <c r="X5" s="544">
        <f>+(X6+X7+X8+X9+X10+X11)*E5</f>
        <v>0.1925</v>
      </c>
      <c r="Y5" s="556">
        <f>+AVERAGE(Y6:Y11)</f>
        <v>0.3</v>
      </c>
      <c r="Z5" s="556">
        <f>+AVERAGE(Z6:Z11)</f>
        <v>0.41</v>
      </c>
      <c r="AA5" s="499">
        <f>+(AA6+AA7+AA8+AA9+AA10+AA11)*E5</f>
        <v>0.109375</v>
      </c>
      <c r="AB5" s="556">
        <f>+(AB6+AB7+AB8+AB9+AB10+AB11)</f>
        <v>0.39</v>
      </c>
      <c r="AC5" s="201"/>
      <c r="AD5" s="450"/>
      <c r="AE5" s="450"/>
      <c r="AF5" s="450"/>
      <c r="AG5" s="450"/>
      <c r="AH5" s="450"/>
      <c r="AI5" s="225"/>
      <c r="AJ5" s="180"/>
    </row>
    <row r="6" spans="1:36" ht="101.4" customHeight="1" thickBot="1" x14ac:dyDescent="0.4">
      <c r="A6" s="301"/>
      <c r="B6" s="1204" t="s">
        <v>10</v>
      </c>
      <c r="C6" s="1204" t="s">
        <v>11</v>
      </c>
      <c r="D6" s="452" t="s">
        <v>1555</v>
      </c>
      <c r="E6" s="352">
        <v>0.25</v>
      </c>
      <c r="F6" s="480">
        <v>3</v>
      </c>
      <c r="G6" s="481">
        <v>1</v>
      </c>
      <c r="H6" s="482"/>
      <c r="I6" s="483">
        <f>+G6/F6</f>
        <v>0.33333333333333331</v>
      </c>
      <c r="J6" s="483"/>
      <c r="K6" s="483">
        <f>+(G6/F6)*E6</f>
        <v>8.3333333333333329E-2</v>
      </c>
      <c r="L6" s="483"/>
      <c r="M6" s="481">
        <v>3</v>
      </c>
      <c r="N6" s="542">
        <v>0</v>
      </c>
      <c r="O6" s="542"/>
      <c r="P6" s="542"/>
      <c r="Q6" s="542">
        <v>0</v>
      </c>
      <c r="R6" s="542">
        <v>0</v>
      </c>
      <c r="S6" s="543">
        <f>+N6+O6+P6+Q6+R6</f>
        <v>0</v>
      </c>
      <c r="T6" s="482">
        <f>+S6+M6</f>
        <v>3</v>
      </c>
      <c r="U6" s="483">
        <v>1</v>
      </c>
      <c r="V6" s="1040"/>
      <c r="W6" s="1041">
        <f>+U6*E6</f>
        <v>0.25</v>
      </c>
      <c r="X6" s="1042"/>
      <c r="Y6" s="1043">
        <f>+M6/F6</f>
        <v>1</v>
      </c>
      <c r="Z6" s="1043">
        <f>+T6/F6</f>
        <v>1</v>
      </c>
      <c r="AA6" s="503">
        <f>+Y6*E6</f>
        <v>0.25</v>
      </c>
      <c r="AB6" s="504">
        <f>+Z6*E6</f>
        <v>0.25</v>
      </c>
      <c r="AC6" s="208" t="s">
        <v>1591</v>
      </c>
      <c r="AD6" s="753" t="s">
        <v>1963</v>
      </c>
      <c r="AE6" s="643" t="s">
        <v>2272</v>
      </c>
      <c r="AF6" s="759" t="s">
        <v>2294</v>
      </c>
      <c r="AG6" s="759" t="s">
        <v>2411</v>
      </c>
      <c r="AH6" s="759" t="s">
        <v>2445</v>
      </c>
      <c r="AI6" s="759" t="s">
        <v>2558</v>
      </c>
      <c r="AJ6" s="180"/>
    </row>
    <row r="7" spans="1:36" ht="125.4" customHeight="1" thickBot="1" x14ac:dyDescent="0.4">
      <c r="A7" s="453"/>
      <c r="B7" s="459" t="s">
        <v>13</v>
      </c>
      <c r="C7" s="459" t="s">
        <v>14</v>
      </c>
      <c r="D7" s="452" t="s">
        <v>1558</v>
      </c>
      <c r="E7" s="352">
        <v>0.05</v>
      </c>
      <c r="F7" s="480">
        <v>4</v>
      </c>
      <c r="G7" s="481">
        <v>1</v>
      </c>
      <c r="H7" s="482">
        <v>1</v>
      </c>
      <c r="I7" s="483">
        <f>+G7/F7</f>
        <v>0.25</v>
      </c>
      <c r="J7" s="483">
        <f>+H7/F7</f>
        <v>0.25</v>
      </c>
      <c r="K7" s="483">
        <f>+(G7/F7)*E7</f>
        <v>1.2500000000000001E-2</v>
      </c>
      <c r="L7" s="483">
        <f>+(H7/F7)*E7</f>
        <v>1.2500000000000001E-2</v>
      </c>
      <c r="M7" s="481">
        <v>1</v>
      </c>
      <c r="N7" s="542">
        <v>1</v>
      </c>
      <c r="O7" s="542">
        <v>0</v>
      </c>
      <c r="P7" s="542">
        <v>0</v>
      </c>
      <c r="Q7" s="542">
        <v>0</v>
      </c>
      <c r="R7" s="542">
        <v>0</v>
      </c>
      <c r="S7" s="543">
        <f t="shared" ref="S7:S11" si="0">+N7+O7+P7+Q7+R7</f>
        <v>1</v>
      </c>
      <c r="T7" s="482">
        <f t="shared" ref="T7:T11" si="1">+S7+M7</f>
        <v>2</v>
      </c>
      <c r="U7" s="483">
        <f>+(M7/G7)</f>
        <v>1</v>
      </c>
      <c r="V7" s="1040">
        <f>+S7/H7</f>
        <v>1</v>
      </c>
      <c r="W7" s="1041">
        <f>+U7*E7</f>
        <v>0.05</v>
      </c>
      <c r="X7" s="1042">
        <f>+V7*E7</f>
        <v>0.05</v>
      </c>
      <c r="Y7" s="1043">
        <f>+M7/F7</f>
        <v>0.25</v>
      </c>
      <c r="Z7" s="1043">
        <f t="shared" ref="Z7:Z30" si="2">+T7/F7</f>
        <v>0.5</v>
      </c>
      <c r="AA7" s="503">
        <f>+Y7*E7</f>
        <v>1.2500000000000001E-2</v>
      </c>
      <c r="AB7" s="504">
        <f>+Z7*E7</f>
        <v>2.5000000000000001E-2</v>
      </c>
      <c r="AC7" s="208" t="s">
        <v>1850</v>
      </c>
      <c r="AD7" s="643" t="s">
        <v>1893</v>
      </c>
      <c r="AE7" s="643" t="s">
        <v>2272</v>
      </c>
      <c r="AF7" s="759" t="s">
        <v>2294</v>
      </c>
      <c r="AG7" s="759" t="s">
        <v>2411</v>
      </c>
      <c r="AH7" s="759" t="s">
        <v>2445</v>
      </c>
      <c r="AI7" s="654" t="s">
        <v>2590</v>
      </c>
      <c r="AJ7" s="180"/>
    </row>
    <row r="8" spans="1:36" ht="101.4" customHeight="1" thickBot="1" x14ac:dyDescent="0.4">
      <c r="A8" s="301"/>
      <c r="B8" s="1204" t="s">
        <v>15</v>
      </c>
      <c r="C8" s="1204" t="s">
        <v>16</v>
      </c>
      <c r="D8" s="452" t="s">
        <v>12</v>
      </c>
      <c r="E8" s="352">
        <v>0.2</v>
      </c>
      <c r="F8" s="480">
        <v>20</v>
      </c>
      <c r="G8" s="481">
        <v>5</v>
      </c>
      <c r="H8" s="482">
        <v>5</v>
      </c>
      <c r="I8" s="483">
        <f>+G8/F8</f>
        <v>0.25</v>
      </c>
      <c r="J8" s="483">
        <f t="shared" ref="J8:J11" si="3">+H8/F8</f>
        <v>0.25</v>
      </c>
      <c r="K8" s="483">
        <f>+(G8/F8)*E8</f>
        <v>0.05</v>
      </c>
      <c r="L8" s="483">
        <f t="shared" ref="L8" si="4">+(H8/F8)*E8</f>
        <v>0.05</v>
      </c>
      <c r="M8" s="481">
        <v>5</v>
      </c>
      <c r="N8" s="542">
        <v>0</v>
      </c>
      <c r="O8" s="542">
        <v>2</v>
      </c>
      <c r="P8" s="542">
        <v>1</v>
      </c>
      <c r="Q8" s="542">
        <v>2</v>
      </c>
      <c r="R8" s="542">
        <v>0</v>
      </c>
      <c r="S8" s="543">
        <f t="shared" si="0"/>
        <v>5</v>
      </c>
      <c r="T8" s="482">
        <f t="shared" si="1"/>
        <v>10</v>
      </c>
      <c r="U8" s="483">
        <f>+(M8/G8)</f>
        <v>1</v>
      </c>
      <c r="V8" s="1040">
        <f>+S8/H8</f>
        <v>1</v>
      </c>
      <c r="W8" s="1041">
        <f>+U8*E8</f>
        <v>0.2</v>
      </c>
      <c r="X8" s="1042">
        <f t="shared" ref="X8" si="5">+V8*E8</f>
        <v>0.2</v>
      </c>
      <c r="Y8" s="1043">
        <f>+M8/F8</f>
        <v>0.25</v>
      </c>
      <c r="Z8" s="1043">
        <f>+T8/F8</f>
        <v>0.5</v>
      </c>
      <c r="AA8" s="503">
        <f>+Y8*E8</f>
        <v>0.05</v>
      </c>
      <c r="AB8" s="504">
        <f>+Z8*E8</f>
        <v>0.1</v>
      </c>
      <c r="AC8" s="208" t="s">
        <v>1850</v>
      </c>
      <c r="AD8" s="654" t="s">
        <v>1915</v>
      </c>
      <c r="AE8" s="643" t="s">
        <v>2272</v>
      </c>
      <c r="AF8" s="759" t="s">
        <v>2294</v>
      </c>
      <c r="AG8" s="654" t="s">
        <v>1865</v>
      </c>
      <c r="AH8" s="759" t="s">
        <v>2445</v>
      </c>
      <c r="AI8" s="759" t="s">
        <v>2558</v>
      </c>
      <c r="AJ8" s="180"/>
    </row>
    <row r="9" spans="1:36" ht="101.4" customHeight="1" thickBot="1" x14ac:dyDescent="0.4">
      <c r="A9" s="301"/>
      <c r="B9" s="1204" t="s">
        <v>17</v>
      </c>
      <c r="C9" s="1204" t="s">
        <v>18</v>
      </c>
      <c r="D9" s="452" t="s">
        <v>1555</v>
      </c>
      <c r="E9" s="352">
        <v>0.1</v>
      </c>
      <c r="F9" s="480">
        <v>1</v>
      </c>
      <c r="G9" s="481">
        <v>1</v>
      </c>
      <c r="H9" s="482">
        <v>1</v>
      </c>
      <c r="I9" s="483">
        <f>+G9/F9</f>
        <v>1</v>
      </c>
      <c r="J9" s="483">
        <f t="shared" si="3"/>
        <v>1</v>
      </c>
      <c r="K9" s="483">
        <f>+(G9/F9)*E9</f>
        <v>0.1</v>
      </c>
      <c r="L9" s="483">
        <f>+(H9/F9)*E9</f>
        <v>0.1</v>
      </c>
      <c r="M9" s="481">
        <v>0</v>
      </c>
      <c r="N9" s="542">
        <v>0</v>
      </c>
      <c r="O9" s="542">
        <v>0</v>
      </c>
      <c r="P9" s="542">
        <v>0</v>
      </c>
      <c r="Q9" s="542">
        <v>0</v>
      </c>
      <c r="R9" s="542">
        <v>0</v>
      </c>
      <c r="S9" s="543">
        <f t="shared" si="0"/>
        <v>0</v>
      </c>
      <c r="T9" s="482">
        <f t="shared" si="1"/>
        <v>0</v>
      </c>
      <c r="U9" s="483">
        <f>+(M9/G9)</f>
        <v>0</v>
      </c>
      <c r="V9" s="1040">
        <f>+S9/H9</f>
        <v>0</v>
      </c>
      <c r="W9" s="1041">
        <f>+U9*E9</f>
        <v>0</v>
      </c>
      <c r="X9" s="1042">
        <f>+V9*E9</f>
        <v>0</v>
      </c>
      <c r="Y9" s="1043">
        <f>+M9/F9</f>
        <v>0</v>
      </c>
      <c r="Z9" s="1043">
        <f t="shared" si="2"/>
        <v>0</v>
      </c>
      <c r="AA9" s="503">
        <f>+Y9*E9</f>
        <v>0</v>
      </c>
      <c r="AB9" s="504">
        <f>+Z9*E9</f>
        <v>0</v>
      </c>
      <c r="AC9" s="208" t="s">
        <v>1850</v>
      </c>
      <c r="AD9" s="643" t="s">
        <v>1893</v>
      </c>
      <c r="AE9" s="643" t="s">
        <v>2272</v>
      </c>
      <c r="AF9" s="759" t="s">
        <v>2294</v>
      </c>
      <c r="AG9" s="759" t="s">
        <v>2411</v>
      </c>
      <c r="AH9" s="450"/>
      <c r="AI9" s="759" t="s">
        <v>2558</v>
      </c>
      <c r="AJ9" s="180"/>
    </row>
    <row r="10" spans="1:36" ht="121.2" customHeight="1" thickBot="1" x14ac:dyDescent="0.4">
      <c r="A10" s="301"/>
      <c r="B10" s="1204" t="s">
        <v>19</v>
      </c>
      <c r="C10" s="1204" t="s">
        <v>20</v>
      </c>
      <c r="D10" s="452" t="s">
        <v>12</v>
      </c>
      <c r="E10" s="352">
        <v>0.1</v>
      </c>
      <c r="F10" s="480">
        <v>1</v>
      </c>
      <c r="G10" s="481">
        <v>0</v>
      </c>
      <c r="H10" s="482">
        <v>0</v>
      </c>
      <c r="I10" s="483"/>
      <c r="J10" s="483"/>
      <c r="K10" s="483"/>
      <c r="L10" s="483"/>
      <c r="M10" s="481"/>
      <c r="N10" s="542"/>
      <c r="O10" s="542"/>
      <c r="P10" s="542"/>
      <c r="Q10" s="542"/>
      <c r="R10" s="542"/>
      <c r="S10" s="543">
        <f t="shared" si="0"/>
        <v>0</v>
      </c>
      <c r="T10" s="482">
        <f t="shared" si="1"/>
        <v>0</v>
      </c>
      <c r="U10" s="483"/>
      <c r="V10" s="1040"/>
      <c r="W10" s="1041"/>
      <c r="X10" s="1042">
        <f t="shared" ref="X10:X11" si="6">+V10*E10</f>
        <v>0</v>
      </c>
      <c r="Y10" s="1043"/>
      <c r="Z10" s="1043"/>
      <c r="AA10" s="503">
        <v>0</v>
      </c>
      <c r="AB10" s="504">
        <v>0</v>
      </c>
      <c r="AC10" s="208" t="s">
        <v>1850</v>
      </c>
      <c r="AD10" s="754" t="s">
        <v>1884</v>
      </c>
      <c r="AE10" s="643" t="s">
        <v>2272</v>
      </c>
      <c r="AF10" s="759" t="s">
        <v>2294</v>
      </c>
      <c r="AG10" s="1038" t="s">
        <v>2409</v>
      </c>
      <c r="AH10" s="759" t="s">
        <v>2445</v>
      </c>
      <c r="AI10" s="759" t="s">
        <v>2558</v>
      </c>
      <c r="AJ10" s="180"/>
    </row>
    <row r="11" spans="1:36" ht="162.6" customHeight="1" thickBot="1" x14ac:dyDescent="0.4">
      <c r="A11" s="301"/>
      <c r="B11" s="1199" t="s">
        <v>21</v>
      </c>
      <c r="C11" s="1199" t="s">
        <v>22</v>
      </c>
      <c r="D11" s="452" t="s">
        <v>1870</v>
      </c>
      <c r="E11" s="352">
        <v>0.3</v>
      </c>
      <c r="F11" s="480">
        <v>40</v>
      </c>
      <c r="G11" s="481">
        <v>2</v>
      </c>
      <c r="H11" s="482">
        <v>2</v>
      </c>
      <c r="I11" s="483">
        <f>+G11/F11</f>
        <v>0.05</v>
      </c>
      <c r="J11" s="483">
        <f t="shared" si="3"/>
        <v>0.05</v>
      </c>
      <c r="K11" s="483">
        <f>+(G11/F11)*E11</f>
        <v>1.4999999999999999E-2</v>
      </c>
      <c r="L11" s="483">
        <f>+(H11/F11)*E11</f>
        <v>1.4999999999999999E-2</v>
      </c>
      <c r="M11" s="481">
        <v>0</v>
      </c>
      <c r="N11" s="542">
        <v>0</v>
      </c>
      <c r="O11" s="542">
        <v>0</v>
      </c>
      <c r="P11" s="542">
        <v>2</v>
      </c>
      <c r="Q11" s="542">
        <v>0</v>
      </c>
      <c r="R11" s="542">
        <v>0</v>
      </c>
      <c r="S11" s="543">
        <f t="shared" si="0"/>
        <v>2</v>
      </c>
      <c r="T11" s="482">
        <f t="shared" si="1"/>
        <v>2</v>
      </c>
      <c r="U11" s="483">
        <f>+(M11/G11)</f>
        <v>0</v>
      </c>
      <c r="V11" s="1040">
        <f>+S11/H11</f>
        <v>1</v>
      </c>
      <c r="W11" s="1041">
        <f>+U11*E11</f>
        <v>0</v>
      </c>
      <c r="X11" s="1042">
        <f t="shared" si="6"/>
        <v>0.3</v>
      </c>
      <c r="Y11" s="1044">
        <f>+M11/F11</f>
        <v>0</v>
      </c>
      <c r="Z11" s="1044">
        <f t="shared" si="2"/>
        <v>0.05</v>
      </c>
      <c r="AA11" s="503">
        <f>+Y11*E11</f>
        <v>0</v>
      </c>
      <c r="AB11" s="504">
        <f>+Z11*E11</f>
        <v>1.4999999999999999E-2</v>
      </c>
      <c r="AC11" s="672" t="s">
        <v>1850</v>
      </c>
      <c r="AD11" s="658" t="s">
        <v>1893</v>
      </c>
      <c r="AE11" s="643" t="s">
        <v>2272</v>
      </c>
      <c r="AF11" s="759" t="s">
        <v>2338</v>
      </c>
      <c r="AG11" s="654" t="s">
        <v>1865</v>
      </c>
      <c r="AH11" s="759" t="s">
        <v>2445</v>
      </c>
      <c r="AI11" s="759" t="s">
        <v>2558</v>
      </c>
      <c r="AJ11" s="180"/>
    </row>
    <row r="12" spans="1:36" ht="144" customHeight="1" thickBot="1" x14ac:dyDescent="0.45">
      <c r="A12" s="301"/>
      <c r="B12" s="1300" t="s">
        <v>1594</v>
      </c>
      <c r="C12" s="1299"/>
      <c r="D12" s="452"/>
      <c r="E12" s="484">
        <v>0.15</v>
      </c>
      <c r="F12" s="479"/>
      <c r="G12" s="479"/>
      <c r="H12" s="485"/>
      <c r="I12" s="478">
        <v>0.66600000000000004</v>
      </c>
      <c r="J12" s="478">
        <f>+AVERAGE(J13:J15)</f>
        <v>1</v>
      </c>
      <c r="K12" s="478">
        <f>+K13+K14+K15</f>
        <v>0.35</v>
      </c>
      <c r="L12" s="478">
        <f>+L13+L14+L15</f>
        <v>0.35</v>
      </c>
      <c r="M12" s="479"/>
      <c r="N12" s="485"/>
      <c r="O12" s="485"/>
      <c r="P12" s="485"/>
      <c r="Q12" s="485"/>
      <c r="R12" s="1200"/>
      <c r="S12" s="485"/>
      <c r="T12" s="485"/>
      <c r="U12" s="544">
        <f>+AVERAGE(U13:U15)</f>
        <v>1</v>
      </c>
      <c r="V12" s="544">
        <f>+AVERAGE(V13:V15)</f>
        <v>0.5</v>
      </c>
      <c r="W12" s="544">
        <f>+(W13+W14+W15)*E12</f>
        <v>5.2499999999999998E-2</v>
      </c>
      <c r="X12" s="544">
        <f>+(X13+X14+X15)*E12</f>
        <v>0</v>
      </c>
      <c r="Y12" s="557">
        <v>0.66600000000000004</v>
      </c>
      <c r="Z12" s="558">
        <f>+AVERAGE(Z13:Z15)</f>
        <v>0.66666666666666663</v>
      </c>
      <c r="AA12" s="499">
        <f>+(AA13+AA14+AA15)*E12</f>
        <v>9.7499999999999989E-2</v>
      </c>
      <c r="AB12" s="556">
        <f>+(AB13+AB14+AB15)</f>
        <v>0.64999999999999991</v>
      </c>
      <c r="AC12" s="669"/>
      <c r="AD12" s="755" t="s">
        <v>1916</v>
      </c>
      <c r="AE12" s="450"/>
      <c r="AF12" s="450"/>
      <c r="AG12" s="450"/>
      <c r="AH12" s="450"/>
      <c r="AI12" s="225"/>
      <c r="AJ12" s="180"/>
    </row>
    <row r="13" spans="1:36" ht="118.2" customHeight="1" thickBot="1" x14ac:dyDescent="0.4">
      <c r="A13" s="301"/>
      <c r="B13" s="1195" t="s">
        <v>23</v>
      </c>
      <c r="C13" s="1195" t="s">
        <v>24</v>
      </c>
      <c r="D13" s="452" t="s">
        <v>12</v>
      </c>
      <c r="E13" s="352">
        <v>0.35</v>
      </c>
      <c r="F13" s="480">
        <v>1</v>
      </c>
      <c r="G13" s="481">
        <v>0</v>
      </c>
      <c r="H13" s="482">
        <v>0</v>
      </c>
      <c r="I13" s="483"/>
      <c r="J13" s="486"/>
      <c r="K13" s="483"/>
      <c r="L13" s="486"/>
      <c r="M13" s="481"/>
      <c r="N13" s="542"/>
      <c r="O13" s="542">
        <v>0</v>
      </c>
      <c r="P13" s="542"/>
      <c r="Q13" s="542"/>
      <c r="R13" s="542"/>
      <c r="S13" s="482">
        <f>+N13+O13+P13+Q13+R13</f>
        <v>0</v>
      </c>
      <c r="T13" s="482">
        <f>+S13+M13</f>
        <v>0</v>
      </c>
      <c r="U13" s="483"/>
      <c r="V13" s="486"/>
      <c r="W13" s="483"/>
      <c r="X13" s="486"/>
      <c r="Y13" s="503">
        <v>0</v>
      </c>
      <c r="Z13" s="504">
        <v>0</v>
      </c>
      <c r="AA13" s="503">
        <f>+Y13*E13</f>
        <v>0</v>
      </c>
      <c r="AB13" s="504">
        <f>+Z13*E13</f>
        <v>0</v>
      </c>
      <c r="AC13" s="672" t="s">
        <v>1850</v>
      </c>
      <c r="AD13" s="759" t="s">
        <v>1893</v>
      </c>
      <c r="AE13" s="643" t="s">
        <v>2272</v>
      </c>
      <c r="AF13" s="759" t="s">
        <v>2294</v>
      </c>
      <c r="AG13" s="759" t="s">
        <v>2411</v>
      </c>
      <c r="AH13" s="759" t="s">
        <v>2445</v>
      </c>
      <c r="AI13" s="759" t="s">
        <v>2558</v>
      </c>
      <c r="AJ13" s="180"/>
    </row>
    <row r="14" spans="1:36" ht="91.95" customHeight="1" thickBot="1" x14ac:dyDescent="0.4">
      <c r="A14" s="301"/>
      <c r="B14" s="1195" t="s">
        <v>25</v>
      </c>
      <c r="C14" s="1195" t="s">
        <v>26</v>
      </c>
      <c r="D14" s="452" t="s">
        <v>12</v>
      </c>
      <c r="E14" s="352">
        <v>0.35</v>
      </c>
      <c r="F14" s="480">
        <v>1</v>
      </c>
      <c r="G14" s="481">
        <v>1</v>
      </c>
      <c r="H14" s="482">
        <v>1</v>
      </c>
      <c r="I14" s="483">
        <f>+G14/F14</f>
        <v>1</v>
      </c>
      <c r="J14" s="486">
        <f>+H14/F14</f>
        <v>1</v>
      </c>
      <c r="K14" s="483">
        <f>+(G14/F14)*E14</f>
        <v>0.35</v>
      </c>
      <c r="L14" s="486">
        <f t="shared" ref="L14" si="7">+(H14/F14)*E14</f>
        <v>0.35</v>
      </c>
      <c r="M14" s="481">
        <v>1</v>
      </c>
      <c r="N14" s="542">
        <v>0</v>
      </c>
      <c r="O14" s="542">
        <v>0</v>
      </c>
      <c r="P14" s="542">
        <v>0</v>
      </c>
      <c r="Q14" s="542">
        <v>0</v>
      </c>
      <c r="R14" s="542">
        <v>0</v>
      </c>
      <c r="S14" s="482">
        <f t="shared" ref="S14:S15" si="8">+N14+O14+P14+Q14+R14</f>
        <v>0</v>
      </c>
      <c r="T14" s="482">
        <f t="shared" ref="T14" si="9">+S14+M14</f>
        <v>1</v>
      </c>
      <c r="U14" s="483">
        <f>+(M14/G14)</f>
        <v>1</v>
      </c>
      <c r="V14" s="486">
        <f t="shared" ref="V14:V22" si="10">+S14/H14</f>
        <v>0</v>
      </c>
      <c r="W14" s="483">
        <f>+U14*E14</f>
        <v>0.35</v>
      </c>
      <c r="X14" s="486">
        <f t="shared" ref="X14:X21" si="11">+V14*E14</f>
        <v>0</v>
      </c>
      <c r="Y14" s="503">
        <f>+M14/F14</f>
        <v>1</v>
      </c>
      <c r="Z14" s="504">
        <f t="shared" si="2"/>
        <v>1</v>
      </c>
      <c r="AA14" s="503">
        <f>+Y14*E14</f>
        <v>0.35</v>
      </c>
      <c r="AB14" s="504">
        <f>+Z14*E14</f>
        <v>0.35</v>
      </c>
      <c r="AC14" s="672" t="s">
        <v>1850</v>
      </c>
      <c r="AD14" s="759" t="s">
        <v>1591</v>
      </c>
      <c r="AE14" s="643" t="s">
        <v>2272</v>
      </c>
      <c r="AF14" s="759" t="s">
        <v>2294</v>
      </c>
      <c r="AG14" s="759" t="s">
        <v>2411</v>
      </c>
      <c r="AH14" s="759" t="s">
        <v>2445</v>
      </c>
      <c r="AI14" s="759" t="s">
        <v>2558</v>
      </c>
      <c r="AJ14" s="180"/>
    </row>
    <row r="15" spans="1:36" ht="74.400000000000006" customHeight="1" thickBot="1" x14ac:dyDescent="0.4">
      <c r="A15" s="301"/>
      <c r="B15" s="1204" t="s">
        <v>27</v>
      </c>
      <c r="C15" s="1204" t="s">
        <v>28</v>
      </c>
      <c r="D15" s="452" t="s">
        <v>12</v>
      </c>
      <c r="E15" s="352">
        <v>0.3</v>
      </c>
      <c r="F15" s="480">
        <v>2</v>
      </c>
      <c r="G15" s="481">
        <v>2</v>
      </c>
      <c r="H15" s="482">
        <v>2</v>
      </c>
      <c r="I15" s="483">
        <f>+G15/F15</f>
        <v>1</v>
      </c>
      <c r="J15" s="486"/>
      <c r="K15" s="483"/>
      <c r="L15" s="486"/>
      <c r="M15" s="481">
        <v>2</v>
      </c>
      <c r="N15" s="542">
        <v>0</v>
      </c>
      <c r="O15" s="542">
        <v>0</v>
      </c>
      <c r="P15" s="542">
        <v>2</v>
      </c>
      <c r="Q15" s="542">
        <v>0</v>
      </c>
      <c r="R15" s="542">
        <v>2</v>
      </c>
      <c r="S15" s="482">
        <f t="shared" si="8"/>
        <v>4</v>
      </c>
      <c r="T15" s="482">
        <f>+S15+M15</f>
        <v>6</v>
      </c>
      <c r="U15" s="483">
        <f>+(M15/G15)</f>
        <v>1</v>
      </c>
      <c r="V15" s="486">
        <v>1</v>
      </c>
      <c r="W15" s="483"/>
      <c r="X15" s="486"/>
      <c r="Y15" s="503">
        <f>+M15/F15</f>
        <v>1</v>
      </c>
      <c r="Z15" s="504">
        <v>1</v>
      </c>
      <c r="AA15" s="503">
        <f>+Y15*E15</f>
        <v>0.3</v>
      </c>
      <c r="AB15" s="504">
        <f>+Z15*E15</f>
        <v>0.3</v>
      </c>
      <c r="AC15" s="672" t="s">
        <v>1591</v>
      </c>
      <c r="AD15" s="759" t="s">
        <v>1591</v>
      </c>
      <c r="AE15" s="643" t="s">
        <v>2272</v>
      </c>
      <c r="AF15" s="759" t="s">
        <v>1591</v>
      </c>
      <c r="AG15" s="759" t="s">
        <v>2411</v>
      </c>
      <c r="AH15" s="759" t="s">
        <v>2445</v>
      </c>
      <c r="AI15" s="759" t="s">
        <v>2558</v>
      </c>
      <c r="AJ15" s="180"/>
    </row>
    <row r="16" spans="1:36" ht="103.95" customHeight="1" thickBot="1" x14ac:dyDescent="0.45">
      <c r="A16" s="301"/>
      <c r="B16" s="1300" t="s">
        <v>1595</v>
      </c>
      <c r="C16" s="1299"/>
      <c r="D16" s="452"/>
      <c r="E16" s="476">
        <v>0.3</v>
      </c>
      <c r="F16" s="479"/>
      <c r="G16" s="479"/>
      <c r="H16" s="485"/>
      <c r="I16" s="478">
        <f>+AVERAGE(I17:I22)</f>
        <v>0.21866537089073543</v>
      </c>
      <c r="J16" s="478">
        <f>+AVERAGE(J17:J22)</f>
        <v>0.52361748159110777</v>
      </c>
      <c r="K16" s="478">
        <f>+K17+K18+K19+K20+K21+K22</f>
        <v>0.23116977612690295</v>
      </c>
      <c r="L16" s="478">
        <f>+L17+L18+L19+L20+L21+L22</f>
        <v>0.53003621333629014</v>
      </c>
      <c r="M16" s="479"/>
      <c r="N16" s="485"/>
      <c r="O16" s="485"/>
      <c r="P16" s="485"/>
      <c r="Q16" s="485"/>
      <c r="R16" s="1200"/>
      <c r="S16" s="485"/>
      <c r="T16" s="485"/>
      <c r="U16" s="541">
        <f>+AVERAGE(U17:U22)</f>
        <v>0.51965408805031454</v>
      </c>
      <c r="V16" s="544">
        <f>+AVERAGE(V17:V22)</f>
        <v>0.76968252498594181</v>
      </c>
      <c r="W16" s="541">
        <f>+(W17+W18+W19+W20+W21+W22)*E16</f>
        <v>0.1270754716981132</v>
      </c>
      <c r="X16" s="541">
        <f>+(X17+X18+X19+X20+X21+X22)*E16</f>
        <v>0.2071125382632317</v>
      </c>
      <c r="Y16" s="499">
        <f>+AVERAGE(Y17:Y22)</f>
        <v>0.18898231334553608</v>
      </c>
      <c r="Z16" s="556">
        <f>+AVERAGE(Z17:Z22)</f>
        <v>0.70675054096239232</v>
      </c>
      <c r="AA16" s="499">
        <f>+(AA17+AA18+AA19+AA20+AA21+AA22)*E16</f>
        <v>3.7150208628344908E-2</v>
      </c>
      <c r="AB16" s="556">
        <f>+(AB17+AB18+AB19+AB20+AB21+AB22)</f>
        <v>0.60071725893871608</v>
      </c>
      <c r="AC16" s="201"/>
      <c r="AD16" s="758"/>
      <c r="AE16" s="450"/>
      <c r="AF16" s="450"/>
      <c r="AG16" s="450"/>
      <c r="AH16" s="450"/>
      <c r="AI16" s="225"/>
      <c r="AJ16" s="180"/>
    </row>
    <row r="17" spans="1:36" ht="96" customHeight="1" thickBot="1" x14ac:dyDescent="0.4">
      <c r="A17" s="453"/>
      <c r="B17" s="1204" t="s">
        <v>29</v>
      </c>
      <c r="C17" s="1204" t="s">
        <v>30</v>
      </c>
      <c r="D17" s="456" t="s">
        <v>31</v>
      </c>
      <c r="E17" s="352">
        <v>0.1</v>
      </c>
      <c r="F17" s="480">
        <f>879*4</f>
        <v>3516</v>
      </c>
      <c r="G17" s="481">
        <v>219</v>
      </c>
      <c r="H17" s="543">
        <v>400</v>
      </c>
      <c r="I17" s="483">
        <f t="shared" ref="I17:I22" si="12">+G17/F17</f>
        <v>6.2286689419795219E-2</v>
      </c>
      <c r="J17" s="486">
        <f>+H17/879</f>
        <v>0.45506257110352671</v>
      </c>
      <c r="K17" s="483">
        <f>+(G17/F17)*E17</f>
        <v>6.2286689419795219E-3</v>
      </c>
      <c r="L17" s="486">
        <f>+(H17/879)*E17</f>
        <v>4.5506257110352673E-2</v>
      </c>
      <c r="M17" s="481">
        <v>484</v>
      </c>
      <c r="N17" s="542">
        <v>0</v>
      </c>
      <c r="O17" s="542">
        <v>200</v>
      </c>
      <c r="P17" s="542">
        <v>172</v>
      </c>
      <c r="Q17" s="542">
        <v>0</v>
      </c>
      <c r="R17" s="542">
        <v>0</v>
      </c>
      <c r="S17" s="482">
        <f>+N17+O17+P17+Q17+R17</f>
        <v>372</v>
      </c>
      <c r="T17" s="482">
        <f>+S17+M17</f>
        <v>856</v>
      </c>
      <c r="U17" s="483">
        <v>1</v>
      </c>
      <c r="V17" s="486">
        <f>+S17/H17</f>
        <v>0.93</v>
      </c>
      <c r="W17" s="483">
        <f>+U17*E17</f>
        <v>0.1</v>
      </c>
      <c r="X17" s="486">
        <f>+V17*E17</f>
        <v>9.3000000000000013E-2</v>
      </c>
      <c r="Y17" s="503">
        <f>+M17/F17</f>
        <v>0.13765642775881684</v>
      </c>
      <c r="Z17" s="504">
        <f>+T17/879</f>
        <v>0.97383390216154719</v>
      </c>
      <c r="AA17" s="503">
        <f>+Y17*E17</f>
        <v>1.3765642775881685E-2</v>
      </c>
      <c r="AB17" s="504">
        <f>+Z17*E17</f>
        <v>9.7383390216154719E-2</v>
      </c>
      <c r="AC17" s="672" t="s">
        <v>1850</v>
      </c>
      <c r="AD17" s="760" t="s">
        <v>1962</v>
      </c>
      <c r="AE17" s="753" t="s">
        <v>1865</v>
      </c>
      <c r="AF17" s="759" t="s">
        <v>2294</v>
      </c>
      <c r="AG17" s="1038" t="s">
        <v>2360</v>
      </c>
      <c r="AH17" s="759" t="s">
        <v>2445</v>
      </c>
      <c r="AI17" s="759" t="s">
        <v>2558</v>
      </c>
      <c r="AJ17" s="180"/>
    </row>
    <row r="18" spans="1:36" ht="81" customHeight="1" thickBot="1" x14ac:dyDescent="0.4">
      <c r="A18" s="301"/>
      <c r="B18" s="1204" t="s">
        <v>32</v>
      </c>
      <c r="C18" s="1204" t="s">
        <v>33</v>
      </c>
      <c r="D18" s="452" t="s">
        <v>31</v>
      </c>
      <c r="E18" s="352">
        <v>0.2</v>
      </c>
      <c r="F18" s="480">
        <v>849</v>
      </c>
      <c r="G18" s="481">
        <v>212</v>
      </c>
      <c r="H18" s="543">
        <v>729</v>
      </c>
      <c r="I18" s="483">
        <f t="shared" si="12"/>
        <v>0.24970553592461719</v>
      </c>
      <c r="J18" s="486">
        <f t="shared" ref="J18:J30" si="13">+H18/F18</f>
        <v>0.85865724381625441</v>
      </c>
      <c r="K18" s="483">
        <f t="shared" ref="K18:K22" si="14">+(G18/F18)*E18</f>
        <v>4.9941107184923443E-2</v>
      </c>
      <c r="L18" s="486">
        <f t="shared" ref="L18:L20" si="15">+(H18/F18)*E18</f>
        <v>0.17173144876325089</v>
      </c>
      <c r="M18" s="481">
        <v>25</v>
      </c>
      <c r="N18" s="542">
        <v>0</v>
      </c>
      <c r="O18" s="542">
        <v>162</v>
      </c>
      <c r="P18" s="542">
        <v>478</v>
      </c>
      <c r="Q18" s="542">
        <v>0</v>
      </c>
      <c r="R18" s="542">
        <v>38</v>
      </c>
      <c r="S18" s="482">
        <f t="shared" ref="S18:S21" si="16">+N18+O18+P18+Q18+R18</f>
        <v>678</v>
      </c>
      <c r="T18" s="482">
        <f t="shared" ref="T18:T22" si="17">+S18+M18</f>
        <v>703</v>
      </c>
      <c r="U18" s="483">
        <f>+(M18/G18)</f>
        <v>0.11792452830188679</v>
      </c>
      <c r="V18" s="486">
        <f t="shared" si="10"/>
        <v>0.93004115226337447</v>
      </c>
      <c r="W18" s="483">
        <f t="shared" ref="W18:W22" si="18">+U18*E18</f>
        <v>2.358490566037736E-2</v>
      </c>
      <c r="X18" s="486">
        <f t="shared" si="11"/>
        <v>0.18600823045267489</v>
      </c>
      <c r="Y18" s="503">
        <f>+M18/F18</f>
        <v>2.9446407538280331E-2</v>
      </c>
      <c r="Z18" s="504">
        <f t="shared" si="2"/>
        <v>0.82803297997644287</v>
      </c>
      <c r="AA18" s="503">
        <f t="shared" ref="AA18:AA22" si="19">+Y18*E18</f>
        <v>5.8892815076560662E-3</v>
      </c>
      <c r="AB18" s="504">
        <f t="shared" ref="AB18:AB22" si="20">+Z18*E18</f>
        <v>0.1656065959952886</v>
      </c>
      <c r="AC18" s="672" t="s">
        <v>1850</v>
      </c>
      <c r="AD18" s="759" t="s">
        <v>1893</v>
      </c>
      <c r="AE18" s="753" t="s">
        <v>1865</v>
      </c>
      <c r="AF18" s="759" t="s">
        <v>2294</v>
      </c>
      <c r="AG18" s="1038" t="s">
        <v>2361</v>
      </c>
      <c r="AH18" s="759" t="s">
        <v>2445</v>
      </c>
      <c r="AI18" s="759" t="s">
        <v>2558</v>
      </c>
      <c r="AJ18" s="180"/>
    </row>
    <row r="19" spans="1:36" ht="93" customHeight="1" thickBot="1" x14ac:dyDescent="0.4">
      <c r="A19" s="301"/>
      <c r="B19" s="1204" t="s">
        <v>34</v>
      </c>
      <c r="C19" s="1204" t="s">
        <v>1159</v>
      </c>
      <c r="D19" s="452" t="s">
        <v>31</v>
      </c>
      <c r="E19" s="352">
        <v>0.2</v>
      </c>
      <c r="F19" s="480">
        <v>440</v>
      </c>
      <c r="G19" s="481">
        <v>110</v>
      </c>
      <c r="H19" s="543">
        <v>187</v>
      </c>
      <c r="I19" s="483">
        <f t="shared" si="12"/>
        <v>0.25</v>
      </c>
      <c r="J19" s="486">
        <f t="shared" si="13"/>
        <v>0.42499999999999999</v>
      </c>
      <c r="K19" s="483">
        <f t="shared" si="14"/>
        <v>0.05</v>
      </c>
      <c r="L19" s="486">
        <f t="shared" si="15"/>
        <v>8.5000000000000006E-2</v>
      </c>
      <c r="M19" s="481">
        <v>33</v>
      </c>
      <c r="N19" s="542">
        <v>0</v>
      </c>
      <c r="O19" s="542">
        <v>0</v>
      </c>
      <c r="P19" s="542">
        <v>160</v>
      </c>
      <c r="Q19" s="542">
        <v>0</v>
      </c>
      <c r="R19" s="542">
        <v>0</v>
      </c>
      <c r="S19" s="482">
        <f t="shared" si="16"/>
        <v>160</v>
      </c>
      <c r="T19" s="482">
        <f t="shared" si="17"/>
        <v>193</v>
      </c>
      <c r="U19" s="483">
        <v>1</v>
      </c>
      <c r="V19" s="486">
        <f t="shared" si="10"/>
        <v>0.85561497326203206</v>
      </c>
      <c r="W19" s="483">
        <f t="shared" si="18"/>
        <v>0.2</v>
      </c>
      <c r="X19" s="486">
        <f t="shared" si="11"/>
        <v>0.17112299465240643</v>
      </c>
      <c r="Y19" s="503">
        <f t="shared" ref="Y19:Y22" si="21">+M19/F19</f>
        <v>7.4999999999999997E-2</v>
      </c>
      <c r="Z19" s="504">
        <f t="shared" si="2"/>
        <v>0.43863636363636366</v>
      </c>
      <c r="AA19" s="503">
        <f t="shared" si="19"/>
        <v>1.4999999999999999E-2</v>
      </c>
      <c r="AB19" s="504">
        <f t="shared" si="20"/>
        <v>8.7727272727272737E-2</v>
      </c>
      <c r="AC19" s="672" t="s">
        <v>1850</v>
      </c>
      <c r="AD19" s="759" t="s">
        <v>1893</v>
      </c>
      <c r="AE19" s="753" t="s">
        <v>1865</v>
      </c>
      <c r="AF19" s="759" t="s">
        <v>2294</v>
      </c>
      <c r="AG19" s="759" t="s">
        <v>2411</v>
      </c>
      <c r="AH19" s="759" t="s">
        <v>2445</v>
      </c>
      <c r="AI19" s="759" t="s">
        <v>2558</v>
      </c>
      <c r="AJ19" s="180"/>
    </row>
    <row r="20" spans="1:36" ht="117" customHeight="1" thickBot="1" x14ac:dyDescent="0.4">
      <c r="A20" s="301"/>
      <c r="B20" s="1204" t="s">
        <v>35</v>
      </c>
      <c r="C20" s="1204" t="s">
        <v>36</v>
      </c>
      <c r="D20" s="452" t="s">
        <v>31</v>
      </c>
      <c r="E20" s="352">
        <v>0.15</v>
      </c>
      <c r="F20" s="480">
        <v>120</v>
      </c>
      <c r="G20" s="481">
        <v>30</v>
      </c>
      <c r="H20" s="543">
        <v>120</v>
      </c>
      <c r="I20" s="483">
        <f t="shared" si="12"/>
        <v>0.25</v>
      </c>
      <c r="J20" s="486">
        <f t="shared" si="13"/>
        <v>1</v>
      </c>
      <c r="K20" s="483">
        <f t="shared" si="14"/>
        <v>3.7499999999999999E-2</v>
      </c>
      <c r="L20" s="486">
        <f t="shared" si="15"/>
        <v>0.15</v>
      </c>
      <c r="M20" s="481">
        <v>0</v>
      </c>
      <c r="N20" s="542">
        <v>0</v>
      </c>
      <c r="O20" s="542">
        <v>0</v>
      </c>
      <c r="P20" s="542">
        <v>0</v>
      </c>
      <c r="Q20" s="542">
        <v>0</v>
      </c>
      <c r="R20" s="542">
        <v>180</v>
      </c>
      <c r="S20" s="482">
        <f t="shared" si="16"/>
        <v>180</v>
      </c>
      <c r="T20" s="482">
        <f t="shared" si="17"/>
        <v>180</v>
      </c>
      <c r="U20" s="483">
        <f>+(M20/G20)</f>
        <v>0</v>
      </c>
      <c r="V20" s="486">
        <v>1</v>
      </c>
      <c r="W20" s="483">
        <f t="shared" si="18"/>
        <v>0</v>
      </c>
      <c r="X20" s="486">
        <f t="shared" si="11"/>
        <v>0.15</v>
      </c>
      <c r="Y20" s="503">
        <f t="shared" si="21"/>
        <v>0</v>
      </c>
      <c r="Z20" s="504">
        <v>1</v>
      </c>
      <c r="AA20" s="503">
        <f t="shared" si="19"/>
        <v>0</v>
      </c>
      <c r="AB20" s="504">
        <f t="shared" si="20"/>
        <v>0.15</v>
      </c>
      <c r="AC20" s="208" t="s">
        <v>1850</v>
      </c>
      <c r="AD20" s="757" t="s">
        <v>1893</v>
      </c>
      <c r="AE20" s="753" t="s">
        <v>1865</v>
      </c>
      <c r="AF20" s="759" t="s">
        <v>2294</v>
      </c>
      <c r="AG20" s="1038" t="s">
        <v>2362</v>
      </c>
      <c r="AH20" s="759" t="s">
        <v>2445</v>
      </c>
      <c r="AI20" s="759" t="s">
        <v>2573</v>
      </c>
      <c r="AJ20" s="180"/>
    </row>
    <row r="21" spans="1:36" ht="117" customHeight="1" thickBot="1" x14ac:dyDescent="0.4">
      <c r="A21" s="453"/>
      <c r="B21" s="1204" t="s">
        <v>37</v>
      </c>
      <c r="C21" s="1204" t="s">
        <v>38</v>
      </c>
      <c r="D21" s="452" t="s">
        <v>31</v>
      </c>
      <c r="E21" s="352">
        <v>0.25</v>
      </c>
      <c r="F21" s="480">
        <v>4</v>
      </c>
      <c r="G21" s="481">
        <v>1</v>
      </c>
      <c r="H21" s="543">
        <v>1</v>
      </c>
      <c r="I21" s="483">
        <f t="shared" si="12"/>
        <v>0.25</v>
      </c>
      <c r="J21" s="486">
        <f t="shared" si="13"/>
        <v>0.25</v>
      </c>
      <c r="K21" s="483">
        <f t="shared" si="14"/>
        <v>6.25E-2</v>
      </c>
      <c r="L21" s="486">
        <f>+(H21/F21)*E21</f>
        <v>6.25E-2</v>
      </c>
      <c r="M21" s="481">
        <v>0</v>
      </c>
      <c r="N21" s="542">
        <v>0</v>
      </c>
      <c r="O21" s="542">
        <v>0</v>
      </c>
      <c r="P21" s="542">
        <v>0</v>
      </c>
      <c r="Q21" s="542">
        <v>0</v>
      </c>
      <c r="R21" s="542">
        <v>0</v>
      </c>
      <c r="S21" s="482">
        <f t="shared" si="16"/>
        <v>0</v>
      </c>
      <c r="T21" s="482">
        <f t="shared" si="17"/>
        <v>0</v>
      </c>
      <c r="U21" s="483">
        <f>+(M21/G21)</f>
        <v>0</v>
      </c>
      <c r="V21" s="486">
        <f t="shared" si="10"/>
        <v>0</v>
      </c>
      <c r="W21" s="483">
        <f t="shared" si="18"/>
        <v>0</v>
      </c>
      <c r="X21" s="486">
        <f t="shared" si="11"/>
        <v>0</v>
      </c>
      <c r="Y21" s="503">
        <f t="shared" si="21"/>
        <v>0</v>
      </c>
      <c r="Z21" s="504">
        <f t="shared" si="2"/>
        <v>0</v>
      </c>
      <c r="AA21" s="503">
        <f t="shared" si="19"/>
        <v>0</v>
      </c>
      <c r="AB21" s="504">
        <f t="shared" si="20"/>
        <v>0</v>
      </c>
      <c r="AC21" s="208" t="s">
        <v>1850</v>
      </c>
      <c r="AD21" s="642" t="s">
        <v>1893</v>
      </c>
      <c r="AE21" s="753" t="s">
        <v>1865</v>
      </c>
      <c r="AF21" s="759" t="s">
        <v>2294</v>
      </c>
      <c r="AG21" s="759" t="s">
        <v>2411</v>
      </c>
      <c r="AH21" s="759" t="s">
        <v>2445</v>
      </c>
      <c r="AI21" s="759" t="s">
        <v>2558</v>
      </c>
      <c r="AJ21" s="180"/>
    </row>
    <row r="22" spans="1:36" ht="117" customHeight="1" thickBot="1" x14ac:dyDescent="0.4">
      <c r="A22" s="301"/>
      <c r="B22" s="1204" t="s">
        <v>39</v>
      </c>
      <c r="C22" s="1204" t="s">
        <v>40</v>
      </c>
      <c r="D22" s="456" t="s">
        <v>31</v>
      </c>
      <c r="E22" s="352">
        <v>0.1</v>
      </c>
      <c r="F22" s="480">
        <v>268</v>
      </c>
      <c r="G22" s="481">
        <v>67</v>
      </c>
      <c r="H22" s="543">
        <v>41</v>
      </c>
      <c r="I22" s="483">
        <f t="shared" si="12"/>
        <v>0.25</v>
      </c>
      <c r="J22" s="486">
        <f t="shared" si="13"/>
        <v>0.15298507462686567</v>
      </c>
      <c r="K22" s="483">
        <f t="shared" si="14"/>
        <v>2.5000000000000001E-2</v>
      </c>
      <c r="L22" s="486">
        <f>+(H22/F22)*E22</f>
        <v>1.5298507462686567E-2</v>
      </c>
      <c r="M22" s="481">
        <v>239</v>
      </c>
      <c r="N22" s="542">
        <v>0</v>
      </c>
      <c r="O22" s="542">
        <v>16</v>
      </c>
      <c r="P22" s="542">
        <v>0</v>
      </c>
      <c r="Q22" s="542">
        <v>18</v>
      </c>
      <c r="R22" s="542">
        <v>3</v>
      </c>
      <c r="S22" s="482">
        <f>+N22+O22+P22+Q22+R22</f>
        <v>37</v>
      </c>
      <c r="T22" s="482">
        <f t="shared" si="17"/>
        <v>276</v>
      </c>
      <c r="U22" s="483">
        <v>1</v>
      </c>
      <c r="V22" s="486">
        <f t="shared" si="10"/>
        <v>0.90243902439024393</v>
      </c>
      <c r="W22" s="483">
        <f t="shared" si="18"/>
        <v>0.1</v>
      </c>
      <c r="X22" s="486">
        <f>+V22*E22</f>
        <v>9.0243902439024401E-2</v>
      </c>
      <c r="Y22" s="503">
        <f t="shared" si="21"/>
        <v>0.89179104477611937</v>
      </c>
      <c r="Z22" s="504">
        <v>1</v>
      </c>
      <c r="AA22" s="503">
        <f t="shared" si="19"/>
        <v>8.9179104477611945E-2</v>
      </c>
      <c r="AB22" s="504">
        <f t="shared" si="20"/>
        <v>0.1</v>
      </c>
      <c r="AC22" s="208" t="s">
        <v>1850</v>
      </c>
      <c r="AD22" s="642" t="s">
        <v>1893</v>
      </c>
      <c r="AE22" s="642" t="s">
        <v>2272</v>
      </c>
      <c r="AF22" s="759" t="s">
        <v>2294</v>
      </c>
      <c r="AG22" s="1038" t="s">
        <v>2363</v>
      </c>
      <c r="AH22" s="759" t="s">
        <v>2445</v>
      </c>
      <c r="AI22" s="759" t="s">
        <v>2558</v>
      </c>
      <c r="AJ22" s="180"/>
    </row>
    <row r="23" spans="1:36" ht="62.25" customHeight="1" thickBot="1" x14ac:dyDescent="0.45">
      <c r="A23" s="301"/>
      <c r="B23" s="1300" t="s">
        <v>1596</v>
      </c>
      <c r="C23" s="1299"/>
      <c r="D23" s="452"/>
      <c r="E23" s="476">
        <v>0.1</v>
      </c>
      <c r="F23" s="479"/>
      <c r="G23" s="481"/>
      <c r="H23" s="482"/>
      <c r="I23" s="478">
        <f>+AVERAGE(I24:I25)</f>
        <v>0.625</v>
      </c>
      <c r="J23" s="478">
        <f>+AVERAGE(J24:J25)</f>
        <v>0.25</v>
      </c>
      <c r="K23" s="478">
        <f>+K24+K25</f>
        <v>0.77499999999999991</v>
      </c>
      <c r="L23" s="478">
        <f>+L24+L25</f>
        <v>7.4999999999999997E-2</v>
      </c>
      <c r="M23" s="479"/>
      <c r="N23" s="485"/>
      <c r="O23" s="485"/>
      <c r="P23" s="485"/>
      <c r="Q23" s="485"/>
      <c r="R23" s="1200"/>
      <c r="S23" s="485"/>
      <c r="T23" s="485"/>
      <c r="U23" s="544">
        <f>+AVERAGE(U24:U25)</f>
        <v>1</v>
      </c>
      <c r="V23" s="544">
        <f>+AVERAGE(V24:V25)</f>
        <v>1</v>
      </c>
      <c r="W23" s="544">
        <f>+(W24+W25)*E23</f>
        <v>0.1</v>
      </c>
      <c r="X23" s="544">
        <f>+(X24+X25)*E23</f>
        <v>0.03</v>
      </c>
      <c r="Y23" s="499">
        <f>+AVERAGE(Y24:Y25)</f>
        <v>0.625</v>
      </c>
      <c r="Z23" s="556">
        <f>+AVERAGE(Z24:Z25)</f>
        <v>0.75</v>
      </c>
      <c r="AA23" s="499">
        <f>+(AA24+AA25)*E23</f>
        <v>7.7499999999999999E-2</v>
      </c>
      <c r="AB23" s="556">
        <f>+(AB24+AB25)</f>
        <v>0.85</v>
      </c>
      <c r="AC23" s="201"/>
      <c r="AD23" s="450"/>
      <c r="AE23" s="450"/>
      <c r="AF23" s="450"/>
      <c r="AG23" s="450"/>
      <c r="AH23" s="450"/>
      <c r="AI23" s="225"/>
      <c r="AJ23" s="180"/>
    </row>
    <row r="24" spans="1:36" ht="94.95" customHeight="1" thickBot="1" x14ac:dyDescent="0.4">
      <c r="A24" s="301"/>
      <c r="B24" s="1195" t="s">
        <v>41</v>
      </c>
      <c r="C24" s="1195" t="s">
        <v>42</v>
      </c>
      <c r="D24" s="452" t="s">
        <v>43</v>
      </c>
      <c r="E24" s="352">
        <v>0.3</v>
      </c>
      <c r="F24" s="480">
        <v>4</v>
      </c>
      <c r="G24" s="481">
        <v>1</v>
      </c>
      <c r="H24" s="482">
        <v>1</v>
      </c>
      <c r="I24" s="483">
        <f>+G24/F24</f>
        <v>0.25</v>
      </c>
      <c r="J24" s="486">
        <f t="shared" si="13"/>
        <v>0.25</v>
      </c>
      <c r="K24" s="483">
        <f>+(G24/F24)*E24</f>
        <v>7.4999999999999997E-2</v>
      </c>
      <c r="L24" s="486">
        <f>+(H24/F24)*E24</f>
        <v>7.4999999999999997E-2</v>
      </c>
      <c r="M24" s="481">
        <v>1</v>
      </c>
      <c r="N24" s="542">
        <v>0</v>
      </c>
      <c r="O24" s="542">
        <v>0</v>
      </c>
      <c r="P24" s="542">
        <v>1</v>
      </c>
      <c r="Q24" s="542">
        <v>0</v>
      </c>
      <c r="R24" s="542">
        <v>0</v>
      </c>
      <c r="S24" s="482">
        <f>+N24+O24+P24+Q24+R24</f>
        <v>1</v>
      </c>
      <c r="T24" s="482">
        <f t="shared" ref="T24:T25" si="22">+S24+M24</f>
        <v>2</v>
      </c>
      <c r="U24" s="483">
        <f>+(M24/G24)</f>
        <v>1</v>
      </c>
      <c r="V24" s="520">
        <f>+S24/H24</f>
        <v>1</v>
      </c>
      <c r="W24" s="535">
        <f>+U24*E24</f>
        <v>0.3</v>
      </c>
      <c r="X24" s="520">
        <f>+V24*E24</f>
        <v>0.3</v>
      </c>
      <c r="Y24" s="560">
        <f>+M24/F24</f>
        <v>0.25</v>
      </c>
      <c r="Z24" s="561">
        <f t="shared" si="2"/>
        <v>0.5</v>
      </c>
      <c r="AA24" s="503">
        <f>+Y24*E24</f>
        <v>7.4999999999999997E-2</v>
      </c>
      <c r="AB24" s="504">
        <f>+Z24*E24</f>
        <v>0.15</v>
      </c>
      <c r="AC24" s="208" t="s">
        <v>1850</v>
      </c>
      <c r="AD24" s="642" t="s">
        <v>1893</v>
      </c>
      <c r="AE24" s="642" t="s">
        <v>2272</v>
      </c>
      <c r="AF24" s="759" t="s">
        <v>2294</v>
      </c>
      <c r="AG24" s="759" t="s">
        <v>2411</v>
      </c>
      <c r="AH24" s="759" t="s">
        <v>2445</v>
      </c>
      <c r="AI24" s="225"/>
      <c r="AJ24" s="180"/>
    </row>
    <row r="25" spans="1:36" ht="94.95" customHeight="1" thickBot="1" x14ac:dyDescent="0.4">
      <c r="A25" s="301"/>
      <c r="B25" s="1204" t="s">
        <v>44</v>
      </c>
      <c r="C25" s="1204" t="s">
        <v>45</v>
      </c>
      <c r="D25" s="452" t="s">
        <v>43</v>
      </c>
      <c r="E25" s="352">
        <v>0.7</v>
      </c>
      <c r="F25" s="480">
        <v>20</v>
      </c>
      <c r="G25" s="481">
        <v>20</v>
      </c>
      <c r="H25" s="482"/>
      <c r="I25" s="483">
        <f>+G25/F25</f>
        <v>1</v>
      </c>
      <c r="J25" s="486"/>
      <c r="K25" s="483">
        <f>+(G25/F25)*E25</f>
        <v>0.7</v>
      </c>
      <c r="L25" s="486"/>
      <c r="M25" s="481">
        <v>23</v>
      </c>
      <c r="N25" s="542"/>
      <c r="O25" s="542"/>
      <c r="P25" s="542"/>
      <c r="Q25" s="542">
        <v>0</v>
      </c>
      <c r="R25" s="542">
        <v>0</v>
      </c>
      <c r="S25" s="482">
        <f>+N25+O25+P25+Q25+R25</f>
        <v>0</v>
      </c>
      <c r="T25" s="482">
        <f t="shared" si="22"/>
        <v>23</v>
      </c>
      <c r="U25" s="483">
        <v>1</v>
      </c>
      <c r="V25" s="520"/>
      <c r="W25" s="535">
        <f>+U25*E25</f>
        <v>0.7</v>
      </c>
      <c r="X25" s="520"/>
      <c r="Y25" s="560">
        <v>1</v>
      </c>
      <c r="Z25" s="561">
        <v>1</v>
      </c>
      <c r="AA25" s="503">
        <f>+Y25*E25</f>
        <v>0.7</v>
      </c>
      <c r="AB25" s="504">
        <f>+Z25*E25</f>
        <v>0.7</v>
      </c>
      <c r="AC25" s="208" t="s">
        <v>1591</v>
      </c>
      <c r="AD25" s="753" t="s">
        <v>1964</v>
      </c>
      <c r="AE25" s="642" t="s">
        <v>2272</v>
      </c>
      <c r="AF25" s="759" t="s">
        <v>2294</v>
      </c>
      <c r="AG25" s="759" t="s">
        <v>2411</v>
      </c>
      <c r="AH25" s="759" t="s">
        <v>2445</v>
      </c>
      <c r="AI25" s="225"/>
      <c r="AJ25" s="180"/>
    </row>
    <row r="26" spans="1:36" ht="94.95" customHeight="1" thickBot="1" x14ac:dyDescent="0.45">
      <c r="A26" s="301"/>
      <c r="B26" s="1300" t="s">
        <v>1597</v>
      </c>
      <c r="C26" s="1299"/>
      <c r="D26" s="452"/>
      <c r="E26" s="476">
        <v>0.1</v>
      </c>
      <c r="F26" s="479"/>
      <c r="G26" s="481"/>
      <c r="H26" s="482"/>
      <c r="I26" s="478">
        <f>+AVERAGE(I27:I30)</f>
        <v>0.15590277777777778</v>
      </c>
      <c r="J26" s="478">
        <f>+AVERAGE(J27:J30)</f>
        <v>0.26105944444444446</v>
      </c>
      <c r="K26" s="478">
        <f>+K27+K28+K29+K30</f>
        <v>0.15590277777777778</v>
      </c>
      <c r="L26" s="478">
        <f>+L27+L28+L29+L30</f>
        <v>0.26105944444444446</v>
      </c>
      <c r="M26" s="479"/>
      <c r="N26" s="485"/>
      <c r="O26" s="485"/>
      <c r="P26" s="485"/>
      <c r="Q26" s="485"/>
      <c r="R26" s="1200"/>
      <c r="S26" s="485"/>
      <c r="T26" s="485"/>
      <c r="U26" s="544">
        <f>+AVERAGE(U27:U30)</f>
        <v>1</v>
      </c>
      <c r="V26" s="544">
        <f>+AVERAGE(V27:V30)</f>
        <v>0.87291666666666667</v>
      </c>
      <c r="W26" s="544">
        <f>+(W27+W28+W29+W30)*E26</f>
        <v>0.1</v>
      </c>
      <c r="X26" s="544">
        <f>+(X27+X28+X29+X30)*E26</f>
        <v>8.729166666666667E-2</v>
      </c>
      <c r="Y26" s="499">
        <f>+AVERAGE(Y27:Y30)</f>
        <v>0.22168277777777778</v>
      </c>
      <c r="Z26" s="556">
        <f>+AVERAGE(Z27:Z30)</f>
        <v>0.66974250000000002</v>
      </c>
      <c r="AA26" s="499">
        <f>+(AA27+AA28+AA29+AA30)*E26</f>
        <v>2.216827777777778E-2</v>
      </c>
      <c r="AB26" s="556">
        <f>+(AB27+AB28+AB29+AB30)</f>
        <v>0.66974250000000002</v>
      </c>
      <c r="AC26" s="201"/>
      <c r="AD26" s="450"/>
      <c r="AE26" s="450"/>
      <c r="AF26" s="450"/>
      <c r="AG26" s="450"/>
      <c r="AH26" s="450"/>
      <c r="AI26" s="225"/>
      <c r="AJ26" s="180"/>
    </row>
    <row r="27" spans="1:36" ht="94.95" customHeight="1" thickBot="1" x14ac:dyDescent="0.4">
      <c r="A27" s="301"/>
      <c r="B27" s="1195" t="s">
        <v>46</v>
      </c>
      <c r="C27" s="1195" t="s">
        <v>47</v>
      </c>
      <c r="D27" s="452" t="s">
        <v>48</v>
      </c>
      <c r="E27" s="352">
        <v>0.25</v>
      </c>
      <c r="F27" s="487">
        <v>100000</v>
      </c>
      <c r="G27" s="481">
        <v>20000</v>
      </c>
      <c r="H27" s="482">
        <v>21646</v>
      </c>
      <c r="I27" s="483">
        <f>+G27/F27</f>
        <v>0.2</v>
      </c>
      <c r="J27" s="486">
        <f t="shared" si="13"/>
        <v>0.21646000000000001</v>
      </c>
      <c r="K27" s="483">
        <f>+(G27/F27)*E27</f>
        <v>0.05</v>
      </c>
      <c r="L27" s="486">
        <f>+(H27/F27)*E27</f>
        <v>5.4115000000000003E-2</v>
      </c>
      <c r="M27" s="481">
        <v>45062</v>
      </c>
      <c r="N27" s="542">
        <v>5568</v>
      </c>
      <c r="O27" s="542">
        <v>20185</v>
      </c>
      <c r="P27" s="542">
        <v>8480</v>
      </c>
      <c r="Q27" s="542">
        <v>7457</v>
      </c>
      <c r="R27" s="542">
        <v>5895</v>
      </c>
      <c r="S27" s="482">
        <f>+N27+O27+P27+Q27+R27</f>
        <v>47585</v>
      </c>
      <c r="T27" s="482">
        <f>+S27+M27</f>
        <v>92647</v>
      </c>
      <c r="U27" s="483">
        <v>1</v>
      </c>
      <c r="V27" s="520">
        <v>1</v>
      </c>
      <c r="W27" s="535">
        <f>+U27*E27</f>
        <v>0.25</v>
      </c>
      <c r="X27" s="520">
        <f>+V27*E27</f>
        <v>0.25</v>
      </c>
      <c r="Y27" s="560">
        <f>+M27/F27</f>
        <v>0.45062000000000002</v>
      </c>
      <c r="Z27" s="561">
        <f>+T27/F27</f>
        <v>0.92647000000000002</v>
      </c>
      <c r="AA27" s="560">
        <f>+Y27*E27</f>
        <v>0.11265500000000001</v>
      </c>
      <c r="AB27" s="561">
        <f>+Z27*E27</f>
        <v>0.2316175</v>
      </c>
      <c r="AC27" s="208" t="s">
        <v>1850</v>
      </c>
      <c r="AD27" s="642" t="s">
        <v>1893</v>
      </c>
      <c r="AE27" s="759" t="s">
        <v>2272</v>
      </c>
      <c r="AF27" s="759" t="s">
        <v>2294</v>
      </c>
      <c r="AG27" s="759" t="s">
        <v>2411</v>
      </c>
      <c r="AH27" s="759" t="s">
        <v>2445</v>
      </c>
      <c r="AI27" s="759" t="s">
        <v>2558</v>
      </c>
      <c r="AJ27" s="180"/>
    </row>
    <row r="28" spans="1:36" ht="94.95" customHeight="1" thickBot="1" x14ac:dyDescent="0.4">
      <c r="A28" s="301"/>
      <c r="B28" s="1195" t="s">
        <v>49</v>
      </c>
      <c r="C28" s="1195" t="s">
        <v>50</v>
      </c>
      <c r="D28" s="452" t="s">
        <v>48</v>
      </c>
      <c r="E28" s="352">
        <v>0.25</v>
      </c>
      <c r="F28" s="480">
        <v>400</v>
      </c>
      <c r="G28" s="481">
        <v>25</v>
      </c>
      <c r="H28" s="482">
        <v>120</v>
      </c>
      <c r="I28" s="483">
        <f>+G28/F28</f>
        <v>6.25E-2</v>
      </c>
      <c r="J28" s="486">
        <f t="shared" si="13"/>
        <v>0.3</v>
      </c>
      <c r="K28" s="483">
        <f>+(G28/F28)*E28</f>
        <v>1.5625E-2</v>
      </c>
      <c r="L28" s="486">
        <f t="shared" ref="L28:L29" si="23">+(H28/F28)*E28</f>
        <v>7.4999999999999997E-2</v>
      </c>
      <c r="M28" s="481">
        <v>30</v>
      </c>
      <c r="N28" s="542">
        <v>0</v>
      </c>
      <c r="O28" s="542">
        <v>45</v>
      </c>
      <c r="P28" s="542">
        <v>0</v>
      </c>
      <c r="Q28" s="542">
        <v>0</v>
      </c>
      <c r="R28" s="542">
        <v>14</v>
      </c>
      <c r="S28" s="482">
        <f t="shared" ref="S28:S30" si="24">+N28+O28+P28+Q28+R28</f>
        <v>59</v>
      </c>
      <c r="T28" s="482">
        <f t="shared" ref="T28:T30" si="25">+S28+M28</f>
        <v>89</v>
      </c>
      <c r="U28" s="483">
        <v>1</v>
      </c>
      <c r="V28" s="520">
        <f>+S28/H28</f>
        <v>0.49166666666666664</v>
      </c>
      <c r="W28" s="535">
        <f>+U28*E28</f>
        <v>0.25</v>
      </c>
      <c r="X28" s="520">
        <f>+V28*E28</f>
        <v>0.12291666666666666</v>
      </c>
      <c r="Y28" s="560">
        <f>+M28/F28</f>
        <v>7.4999999999999997E-2</v>
      </c>
      <c r="Z28" s="561">
        <f t="shared" si="2"/>
        <v>0.2225</v>
      </c>
      <c r="AA28" s="560">
        <f>+Y28*E28</f>
        <v>1.8749999999999999E-2</v>
      </c>
      <c r="AB28" s="561">
        <f>+Z28*E28</f>
        <v>5.5625000000000001E-2</v>
      </c>
      <c r="AC28" s="208" t="s">
        <v>1850</v>
      </c>
      <c r="AD28" s="642" t="s">
        <v>1893</v>
      </c>
      <c r="AE28" s="759" t="s">
        <v>2272</v>
      </c>
      <c r="AF28" s="759" t="s">
        <v>2294</v>
      </c>
      <c r="AG28" s="759" t="s">
        <v>2411</v>
      </c>
      <c r="AH28" s="759" t="s">
        <v>2445</v>
      </c>
      <c r="AI28" s="759" t="s">
        <v>2558</v>
      </c>
      <c r="AJ28" s="180"/>
    </row>
    <row r="29" spans="1:36" ht="94.95" customHeight="1" thickBot="1" x14ac:dyDescent="0.4">
      <c r="A29" s="301"/>
      <c r="B29" s="1195" t="s">
        <v>51</v>
      </c>
      <c r="C29" s="1195" t="s">
        <v>52</v>
      </c>
      <c r="D29" s="452" t="s">
        <v>48</v>
      </c>
      <c r="E29" s="352">
        <v>0.25</v>
      </c>
      <c r="F29" s="480">
        <v>1</v>
      </c>
      <c r="G29" s="481">
        <v>0.25</v>
      </c>
      <c r="H29" s="482">
        <v>0.25</v>
      </c>
      <c r="I29" s="483">
        <f>+G29/F29</f>
        <v>0.25</v>
      </c>
      <c r="J29" s="486">
        <f t="shared" si="13"/>
        <v>0.25</v>
      </c>
      <c r="K29" s="483">
        <f>+(G29/F29)*E29</f>
        <v>6.25E-2</v>
      </c>
      <c r="L29" s="486">
        <f t="shared" si="23"/>
        <v>6.25E-2</v>
      </c>
      <c r="M29" s="481">
        <v>0.25</v>
      </c>
      <c r="N29" s="542">
        <v>0.05</v>
      </c>
      <c r="O29" s="542">
        <v>0.1</v>
      </c>
      <c r="P29" s="542">
        <v>0.2</v>
      </c>
      <c r="Q29" s="542">
        <v>0.23</v>
      </c>
      <c r="R29" s="542">
        <v>0</v>
      </c>
      <c r="S29" s="482">
        <f t="shared" si="24"/>
        <v>0.58000000000000007</v>
      </c>
      <c r="T29" s="482">
        <f t="shared" si="25"/>
        <v>0.83000000000000007</v>
      </c>
      <c r="U29" s="483">
        <f>+(M29/G29)</f>
        <v>1</v>
      </c>
      <c r="V29" s="520">
        <v>1</v>
      </c>
      <c r="W29" s="535">
        <f>+U29*E29</f>
        <v>0.25</v>
      </c>
      <c r="X29" s="520">
        <f t="shared" ref="X29" si="26">+V29*E29</f>
        <v>0.25</v>
      </c>
      <c r="Y29" s="560">
        <f>+M29/F29</f>
        <v>0.25</v>
      </c>
      <c r="Z29" s="561">
        <f t="shared" si="2"/>
        <v>0.83000000000000007</v>
      </c>
      <c r="AA29" s="560">
        <f>+Y29*E29</f>
        <v>6.25E-2</v>
      </c>
      <c r="AB29" s="561">
        <f>+Z29*E29</f>
        <v>0.20750000000000002</v>
      </c>
      <c r="AC29" s="208" t="s">
        <v>1850</v>
      </c>
      <c r="AD29" s="642" t="s">
        <v>1893</v>
      </c>
      <c r="AE29" s="759" t="s">
        <v>2272</v>
      </c>
      <c r="AF29" s="759" t="s">
        <v>2294</v>
      </c>
      <c r="AG29" s="759" t="s">
        <v>2411</v>
      </c>
      <c r="AH29" s="759" t="s">
        <v>2445</v>
      </c>
      <c r="AI29" s="759" t="s">
        <v>2558</v>
      </c>
      <c r="AJ29" s="180"/>
    </row>
    <row r="30" spans="1:36" ht="94.95" customHeight="1" thickBot="1" x14ac:dyDescent="0.4">
      <c r="A30" s="301"/>
      <c r="B30" s="1195" t="s">
        <v>53</v>
      </c>
      <c r="C30" s="1195" t="s">
        <v>54</v>
      </c>
      <c r="D30" s="452" t="s">
        <v>48</v>
      </c>
      <c r="E30" s="352">
        <v>0.25</v>
      </c>
      <c r="F30" s="480">
        <v>180</v>
      </c>
      <c r="G30" s="481">
        <v>20</v>
      </c>
      <c r="H30" s="482">
        <v>50</v>
      </c>
      <c r="I30" s="483">
        <f>+G30/F30</f>
        <v>0.1111111111111111</v>
      </c>
      <c r="J30" s="486">
        <f t="shared" si="13"/>
        <v>0.27777777777777779</v>
      </c>
      <c r="K30" s="483">
        <f>+(G30/F30)*E30</f>
        <v>2.7777777777777776E-2</v>
      </c>
      <c r="L30" s="486">
        <f>+(H30/F30)*E30</f>
        <v>6.9444444444444448E-2</v>
      </c>
      <c r="M30" s="481">
        <v>20</v>
      </c>
      <c r="N30" s="542">
        <v>8</v>
      </c>
      <c r="O30" s="542">
        <v>80</v>
      </c>
      <c r="P30" s="542">
        <v>2</v>
      </c>
      <c r="Q30" s="542">
        <v>16</v>
      </c>
      <c r="R30" s="542">
        <v>0</v>
      </c>
      <c r="S30" s="482">
        <f t="shared" si="24"/>
        <v>106</v>
      </c>
      <c r="T30" s="482">
        <f t="shared" si="25"/>
        <v>126</v>
      </c>
      <c r="U30" s="483">
        <f>+(M30/G30)</f>
        <v>1</v>
      </c>
      <c r="V30" s="520">
        <v>1</v>
      </c>
      <c r="W30" s="535">
        <f>+U30*E30</f>
        <v>0.25</v>
      </c>
      <c r="X30" s="520">
        <f>+V30*E30</f>
        <v>0.25</v>
      </c>
      <c r="Y30" s="560">
        <f>+M30/F30</f>
        <v>0.1111111111111111</v>
      </c>
      <c r="Z30" s="561">
        <f t="shared" si="2"/>
        <v>0.7</v>
      </c>
      <c r="AA30" s="560">
        <f>+Y30*E30</f>
        <v>2.7777777777777776E-2</v>
      </c>
      <c r="AB30" s="561">
        <f>+Z30*E30</f>
        <v>0.17499999999999999</v>
      </c>
      <c r="AC30" s="208" t="s">
        <v>1850</v>
      </c>
      <c r="AD30" s="642" t="s">
        <v>1893</v>
      </c>
      <c r="AE30" s="759" t="s">
        <v>2272</v>
      </c>
      <c r="AF30" s="759" t="s">
        <v>2294</v>
      </c>
      <c r="AG30" s="759" t="s">
        <v>2411</v>
      </c>
      <c r="AH30" s="759" t="s">
        <v>2445</v>
      </c>
      <c r="AI30" s="759" t="s">
        <v>2558</v>
      </c>
      <c r="AJ30" s="180"/>
    </row>
    <row r="31" spans="1:36" ht="94.95" customHeight="1" thickBot="1" x14ac:dyDescent="0.45">
      <c r="A31" s="301"/>
      <c r="B31" s="1301" t="s">
        <v>55</v>
      </c>
      <c r="C31" s="1299"/>
      <c r="D31" s="449"/>
      <c r="E31" s="488">
        <v>0.1</v>
      </c>
      <c r="F31" s="488">
        <f>+E31*W31</f>
        <v>6.4343375000000022E-2</v>
      </c>
      <c r="G31" s="479"/>
      <c r="H31" s="488">
        <f>E31*X31</f>
        <v>6.9202413519813516E-2</v>
      </c>
      <c r="I31" s="473">
        <f>+(I32+I36+I39+I44+I52+I57+I77+I87)/8</f>
        <v>0.23923611111111112</v>
      </c>
      <c r="J31" s="473">
        <f>+(J32+J36+J39+J44+J52+J57+J77+J87)/8</f>
        <v>0.33642940083979328</v>
      </c>
      <c r="K31" s="474">
        <f>+(K32+K36+K39+K44+K52+K57+K77+K87)/8</f>
        <v>0.16062499999999999</v>
      </c>
      <c r="L31" s="474"/>
      <c r="M31" s="479"/>
      <c r="N31" s="485"/>
      <c r="O31" s="485"/>
      <c r="P31" s="485"/>
      <c r="Q31" s="485"/>
      <c r="R31" s="485"/>
      <c r="S31" s="485"/>
      <c r="T31" s="485"/>
      <c r="U31" s="473">
        <f>+(U32+U36+U39+U44+U52+U57+U77+U87)/8</f>
        <v>0.90306155303030311</v>
      </c>
      <c r="V31" s="473">
        <f>+(V32+V36+V39+V44+V52+V57+V77+V87)/8</f>
        <v>0.82692475233100227</v>
      </c>
      <c r="W31" s="474">
        <f>+W32+W36+W39+W44+W52+W57+W77+W87</f>
        <v>0.64343375000000014</v>
      </c>
      <c r="X31" s="474">
        <f>+X32+X36+X39+X44+X52+X57+X77+X87</f>
        <v>0.6920241351981351</v>
      </c>
      <c r="Y31" s="559">
        <f>+(Y32+Y36+Y39+Y44+Y52+Y57+Y77+Y87)/8</f>
        <v>0.25041408617424243</v>
      </c>
      <c r="Z31" s="555">
        <f>+(Z32+Z36+Z39+Z44+Z52+Z57+Z77+Z87)/8</f>
        <v>0.51564037674127183</v>
      </c>
      <c r="AA31" s="554">
        <f>+AA32+AA36+AA39+AA44+AA52+AA57+AA77+AA87</f>
        <v>0.19896443750000001</v>
      </c>
      <c r="AB31" s="674">
        <f>+(AB32*E32)+(AB36*E36)+(AB39*E39)+(AB44*E44)+(AB52*E52)+(AB57*E57)+(AB77*E77)+(AB87*E87)</f>
        <v>0.49297341860465116</v>
      </c>
      <c r="AC31" s="193"/>
      <c r="AD31" s="450"/>
      <c r="AE31" s="450"/>
      <c r="AF31" s="450"/>
      <c r="AG31" s="450"/>
      <c r="AH31" s="450"/>
      <c r="AI31" s="225"/>
      <c r="AJ31" s="180"/>
    </row>
    <row r="32" spans="1:36" ht="94.95" customHeight="1" thickBot="1" x14ac:dyDescent="0.45">
      <c r="A32" s="301"/>
      <c r="B32" s="1300" t="s">
        <v>1598</v>
      </c>
      <c r="C32" s="1299"/>
      <c r="D32" s="451"/>
      <c r="E32" s="476">
        <v>0.15</v>
      </c>
      <c r="F32" s="479"/>
      <c r="G32" s="481"/>
      <c r="H32" s="482"/>
      <c r="I32" s="478">
        <f>+AVERAGE(I33:I35)</f>
        <v>0.17500000000000002</v>
      </c>
      <c r="J32" s="478">
        <f>+AVERAGE(J33:J35)</f>
        <v>0.25</v>
      </c>
      <c r="K32" s="478">
        <f>+K33+K34+K35</f>
        <v>0.1525</v>
      </c>
      <c r="L32" s="478">
        <f>+L33+L34+L35</f>
        <v>0.245</v>
      </c>
      <c r="M32" s="481"/>
      <c r="N32" s="482"/>
      <c r="O32" s="482"/>
      <c r="P32" s="482"/>
      <c r="Q32" s="482"/>
      <c r="R32" s="482"/>
      <c r="S32" s="482"/>
      <c r="T32" s="482"/>
      <c r="U32" s="544">
        <f>+AVERAGE(U33:U35)</f>
        <v>1</v>
      </c>
      <c r="V32" s="544">
        <f>+AVERAGE(V33:V35)</f>
        <v>1</v>
      </c>
      <c r="W32" s="544">
        <f>+(W33+W34+W35)*E32</f>
        <v>0.15</v>
      </c>
      <c r="X32" s="544">
        <f>+(X33+X34+X35)*E32</f>
        <v>0.15</v>
      </c>
      <c r="Y32" s="499">
        <f>+AVERAGE(Y33:Y35)</f>
        <v>0.36919999999999997</v>
      </c>
      <c r="Z32" s="556">
        <f>+AVERAGE(Z33:Z35)</f>
        <v>0.84073333333333322</v>
      </c>
      <c r="AA32" s="499">
        <f>+(AA33+AA34+AA35)*E32</f>
        <v>6.1731000000000001E-2</v>
      </c>
      <c r="AB32" s="556">
        <f>+(AB33+AB34+AB35)</f>
        <v>0.87988</v>
      </c>
      <c r="AC32" s="201"/>
      <c r="AD32" s="450"/>
      <c r="AE32" s="450"/>
      <c r="AF32" s="450"/>
      <c r="AG32" s="450"/>
      <c r="AH32" s="450"/>
      <c r="AI32" s="225"/>
      <c r="AJ32" s="180"/>
    </row>
    <row r="33" spans="1:36" ht="94.95" customHeight="1" thickBot="1" x14ac:dyDescent="0.4">
      <c r="A33" s="301"/>
      <c r="B33" s="1195" t="s">
        <v>56</v>
      </c>
      <c r="C33" s="1195" t="s">
        <v>57</v>
      </c>
      <c r="D33" s="452" t="s">
        <v>58</v>
      </c>
      <c r="E33" s="489">
        <v>0.4</v>
      </c>
      <c r="F33" s="480">
        <v>5000</v>
      </c>
      <c r="G33" s="481">
        <v>500</v>
      </c>
      <c r="H33" s="482">
        <v>1500</v>
      </c>
      <c r="I33" s="483">
        <f>+G33/F33</f>
        <v>0.1</v>
      </c>
      <c r="J33" s="486">
        <f t="shared" ref="J33:J43" si="27">+H33/F33</f>
        <v>0.3</v>
      </c>
      <c r="K33" s="483">
        <f>+(G33/F33)*E33</f>
        <v>4.0000000000000008E-2</v>
      </c>
      <c r="L33" s="486">
        <f>+(H33/F33)*E33</f>
        <v>0.12</v>
      </c>
      <c r="M33" s="481">
        <v>2113</v>
      </c>
      <c r="N33" s="542">
        <v>950</v>
      </c>
      <c r="O33" s="542">
        <v>361</v>
      </c>
      <c r="P33" s="542">
        <v>356</v>
      </c>
      <c r="Q33" s="542">
        <v>112</v>
      </c>
      <c r="R33" s="542">
        <v>169</v>
      </c>
      <c r="S33" s="542">
        <f>+N33+O33+P33+Q33+R33</f>
        <v>1948</v>
      </c>
      <c r="T33" s="542">
        <f t="shared" ref="T33" si="28">+S33+M33</f>
        <v>4061</v>
      </c>
      <c r="U33" s="483">
        <v>1</v>
      </c>
      <c r="V33" s="520">
        <v>1</v>
      </c>
      <c r="W33" s="535">
        <f>+U33*E33</f>
        <v>0.4</v>
      </c>
      <c r="X33" s="520">
        <f>+V33*E33</f>
        <v>0.4</v>
      </c>
      <c r="Y33" s="560">
        <f>+M33/F33</f>
        <v>0.42259999999999998</v>
      </c>
      <c r="Z33" s="561">
        <f t="shared" ref="Z33:Z35" si="29">+T33/F33</f>
        <v>0.81220000000000003</v>
      </c>
      <c r="AA33" s="503">
        <f>+Y33*E33</f>
        <v>0.16904</v>
      </c>
      <c r="AB33" s="504">
        <f>+Z33*E33</f>
        <v>0.32488000000000006</v>
      </c>
      <c r="AC33" s="208" t="s">
        <v>1850</v>
      </c>
      <c r="AD33" s="642" t="s">
        <v>1893</v>
      </c>
      <c r="AE33" s="759" t="s">
        <v>2272</v>
      </c>
      <c r="AF33" s="759" t="s">
        <v>2294</v>
      </c>
      <c r="AG33" s="759" t="s">
        <v>2411</v>
      </c>
      <c r="AH33" s="759" t="s">
        <v>2445</v>
      </c>
      <c r="AI33" s="759" t="s">
        <v>2558</v>
      </c>
      <c r="AJ33" s="180"/>
    </row>
    <row r="34" spans="1:36" ht="94.95" customHeight="1" thickBot="1" x14ac:dyDescent="0.4">
      <c r="A34" s="301"/>
      <c r="B34" s="1195" t="s">
        <v>59</v>
      </c>
      <c r="C34" s="1195" t="s">
        <v>60</v>
      </c>
      <c r="D34" s="452" t="s">
        <v>58</v>
      </c>
      <c r="E34" s="489">
        <v>0.5</v>
      </c>
      <c r="F34" s="480">
        <v>200</v>
      </c>
      <c r="G34" s="481">
        <v>35</v>
      </c>
      <c r="H34" s="482">
        <v>40</v>
      </c>
      <c r="I34" s="483">
        <f>+G34/F34</f>
        <v>0.17499999999999999</v>
      </c>
      <c r="J34" s="486">
        <f t="shared" si="27"/>
        <v>0.2</v>
      </c>
      <c r="K34" s="483">
        <f>+(G34/F34)*E34</f>
        <v>8.7499999999999994E-2</v>
      </c>
      <c r="L34" s="486">
        <f t="shared" ref="L34:L90" si="30">+(H34/F34)*E34</f>
        <v>0.1</v>
      </c>
      <c r="M34" s="481">
        <v>87</v>
      </c>
      <c r="N34" s="542">
        <v>27</v>
      </c>
      <c r="O34" s="542">
        <v>35</v>
      </c>
      <c r="P34" s="542">
        <v>0</v>
      </c>
      <c r="Q34" s="542">
        <v>28</v>
      </c>
      <c r="R34" s="542">
        <v>15</v>
      </c>
      <c r="S34" s="542">
        <f t="shared" ref="S34" si="31">+N34+O34+P34+Q34+R34</f>
        <v>105</v>
      </c>
      <c r="T34" s="542">
        <f t="shared" ref="T34:T35" si="32">+S34+M34</f>
        <v>192</v>
      </c>
      <c r="U34" s="483">
        <v>1</v>
      </c>
      <c r="V34" s="520">
        <v>1</v>
      </c>
      <c r="W34" s="535">
        <f>+U34*E34</f>
        <v>0.5</v>
      </c>
      <c r="X34" s="520">
        <f t="shared" ref="X34:X35" si="33">+V34*E34</f>
        <v>0.5</v>
      </c>
      <c r="Y34" s="560">
        <f>+M34/F34</f>
        <v>0.435</v>
      </c>
      <c r="Z34" s="561">
        <f t="shared" si="29"/>
        <v>0.96</v>
      </c>
      <c r="AA34" s="503">
        <f>+Y34*E34</f>
        <v>0.2175</v>
      </c>
      <c r="AB34" s="504">
        <f>+Z34*E34</f>
        <v>0.48</v>
      </c>
      <c r="AC34" s="208" t="s">
        <v>1850</v>
      </c>
      <c r="AD34" s="642" t="s">
        <v>1893</v>
      </c>
      <c r="AE34" s="759" t="s">
        <v>2272</v>
      </c>
      <c r="AF34" s="759" t="s">
        <v>2294</v>
      </c>
      <c r="AG34" s="759" t="s">
        <v>2411</v>
      </c>
      <c r="AH34" s="759" t="s">
        <v>2445</v>
      </c>
      <c r="AI34" s="759" t="s">
        <v>2558</v>
      </c>
      <c r="AJ34" s="180"/>
    </row>
    <row r="35" spans="1:36" ht="108.6" customHeight="1" thickBot="1" x14ac:dyDescent="0.4">
      <c r="A35" s="301"/>
      <c r="B35" s="1195" t="s">
        <v>61</v>
      </c>
      <c r="C35" s="1195" t="s">
        <v>62</v>
      </c>
      <c r="D35" s="452" t="s">
        <v>58</v>
      </c>
      <c r="E35" s="489">
        <v>0.1</v>
      </c>
      <c r="F35" s="480">
        <v>4</v>
      </c>
      <c r="G35" s="481">
        <v>1</v>
      </c>
      <c r="H35" s="482">
        <v>1</v>
      </c>
      <c r="I35" s="483">
        <f>+G35/F35</f>
        <v>0.25</v>
      </c>
      <c r="J35" s="486">
        <f t="shared" si="27"/>
        <v>0.25</v>
      </c>
      <c r="K35" s="483">
        <f>+(G35/F35)*E35</f>
        <v>2.5000000000000001E-2</v>
      </c>
      <c r="L35" s="486">
        <f t="shared" si="30"/>
        <v>2.5000000000000001E-2</v>
      </c>
      <c r="M35" s="481">
        <v>1</v>
      </c>
      <c r="N35" s="542">
        <v>0</v>
      </c>
      <c r="O35" s="542">
        <v>0</v>
      </c>
      <c r="P35" s="542">
        <v>0</v>
      </c>
      <c r="Q35" s="542">
        <v>2</v>
      </c>
      <c r="R35" s="542">
        <v>0</v>
      </c>
      <c r="S35" s="542">
        <f>+N35+O35+P35+Q35+R35</f>
        <v>2</v>
      </c>
      <c r="T35" s="542">
        <f t="shared" si="32"/>
        <v>3</v>
      </c>
      <c r="U35" s="483">
        <f>+(M35/G35)</f>
        <v>1</v>
      </c>
      <c r="V35" s="520">
        <v>1</v>
      </c>
      <c r="W35" s="535">
        <f>+U35*E35</f>
        <v>0.1</v>
      </c>
      <c r="X35" s="520">
        <f t="shared" si="33"/>
        <v>0.1</v>
      </c>
      <c r="Y35" s="560">
        <f>+M35/F35</f>
        <v>0.25</v>
      </c>
      <c r="Z35" s="561">
        <f t="shared" si="29"/>
        <v>0.75</v>
      </c>
      <c r="AA35" s="503">
        <f>+Y35*E35</f>
        <v>2.5000000000000001E-2</v>
      </c>
      <c r="AB35" s="504">
        <f>+Z35*E35</f>
        <v>7.5000000000000011E-2</v>
      </c>
      <c r="AC35" s="208" t="s">
        <v>1850</v>
      </c>
      <c r="AD35" s="642" t="s">
        <v>1893</v>
      </c>
      <c r="AE35" s="759" t="s">
        <v>2272</v>
      </c>
      <c r="AF35" s="759" t="s">
        <v>2294</v>
      </c>
      <c r="AG35" s="759" t="s">
        <v>2411</v>
      </c>
      <c r="AH35" s="759" t="s">
        <v>2445</v>
      </c>
      <c r="AI35" s="759" t="s">
        <v>2558</v>
      </c>
      <c r="AJ35" s="180"/>
    </row>
    <row r="36" spans="1:36" ht="62.25" customHeight="1" thickBot="1" x14ac:dyDescent="0.45">
      <c r="A36" s="301"/>
      <c r="B36" s="1300" t="s">
        <v>1599</v>
      </c>
      <c r="C36" s="1299"/>
      <c r="D36" s="452"/>
      <c r="E36" s="476">
        <v>0.1</v>
      </c>
      <c r="F36" s="479"/>
      <c r="G36" s="479"/>
      <c r="H36" s="485"/>
      <c r="I36" s="478">
        <f>+AVERAGE(I37:I38)</f>
        <v>0.25</v>
      </c>
      <c r="J36" s="478">
        <f>+AVERAGE(J37:J38)</f>
        <v>0.21249999999999999</v>
      </c>
      <c r="K36" s="478">
        <f>+K37+K38</f>
        <v>0.25</v>
      </c>
      <c r="L36" s="478">
        <f>+L37+L38</f>
        <v>0.19</v>
      </c>
      <c r="M36" s="479"/>
      <c r="N36" s="485"/>
      <c r="O36" s="485"/>
      <c r="P36" s="485"/>
      <c r="Q36" s="485"/>
      <c r="R36" s="485"/>
      <c r="S36" s="485"/>
      <c r="T36" s="485"/>
      <c r="U36" s="544">
        <f>+AVERAGE(U37:U38)</f>
        <v>1</v>
      </c>
      <c r="V36" s="544">
        <f>+AVERAGE(V37:V38)</f>
        <v>1</v>
      </c>
      <c r="W36" s="544">
        <f>+(W37+W38)*E36</f>
        <v>0.1</v>
      </c>
      <c r="X36" s="544">
        <f>+(X37+X38)*E36</f>
        <v>0.1</v>
      </c>
      <c r="Y36" s="499">
        <f>+AVERAGE(Y37:Y38)</f>
        <v>0.33499999999999996</v>
      </c>
      <c r="Z36" s="556">
        <f>+AVERAGE(Z37:Z38)</f>
        <v>0.54749999999999999</v>
      </c>
      <c r="AA36" s="499">
        <f>+(AA37+AA38)*E36</f>
        <v>3.8600000000000002E-2</v>
      </c>
      <c r="AB36" s="556">
        <f>+(AB37+AB38)</f>
        <v>0.57599999999999996</v>
      </c>
      <c r="AC36" s="201"/>
      <c r="AD36" s="450"/>
      <c r="AE36" s="450"/>
      <c r="AF36" s="450"/>
      <c r="AG36" s="450"/>
      <c r="AH36" s="450"/>
      <c r="AI36" s="225"/>
      <c r="AJ36" s="180"/>
    </row>
    <row r="37" spans="1:36" ht="103.2" customHeight="1" thickBot="1" x14ac:dyDescent="0.4">
      <c r="A37" s="301"/>
      <c r="B37" s="1195" t="s">
        <v>63</v>
      </c>
      <c r="C37" s="1195" t="s">
        <v>64</v>
      </c>
      <c r="D37" s="452" t="s">
        <v>58</v>
      </c>
      <c r="E37" s="352">
        <v>0.8</v>
      </c>
      <c r="F37" s="480">
        <v>200</v>
      </c>
      <c r="G37" s="481">
        <v>50</v>
      </c>
      <c r="H37" s="482">
        <v>35</v>
      </c>
      <c r="I37" s="483">
        <f>+G37/F37</f>
        <v>0.25</v>
      </c>
      <c r="J37" s="486">
        <f t="shared" si="27"/>
        <v>0.17499999999999999</v>
      </c>
      <c r="K37" s="483">
        <f>+(G37/F37)*E37</f>
        <v>0.2</v>
      </c>
      <c r="L37" s="486">
        <f t="shared" si="30"/>
        <v>0.13999999999999999</v>
      </c>
      <c r="M37" s="481">
        <v>84</v>
      </c>
      <c r="N37" s="542">
        <v>0</v>
      </c>
      <c r="O37" s="542">
        <v>0</v>
      </c>
      <c r="P37" s="542">
        <v>35</v>
      </c>
      <c r="Q37" s="542">
        <v>0</v>
      </c>
      <c r="R37" s="542">
        <v>0</v>
      </c>
      <c r="S37" s="542">
        <f>+N37+O37+P37+Q37+R37</f>
        <v>35</v>
      </c>
      <c r="T37" s="542">
        <f t="shared" ref="T37" si="34">+S37+M37</f>
        <v>119</v>
      </c>
      <c r="U37" s="483">
        <v>1</v>
      </c>
      <c r="V37" s="486">
        <f>+S37/H37</f>
        <v>1</v>
      </c>
      <c r="W37" s="483">
        <f>+U37*E37</f>
        <v>0.8</v>
      </c>
      <c r="X37" s="486">
        <f>+V37*E37</f>
        <v>0.8</v>
      </c>
      <c r="Y37" s="560">
        <f>+M37/F37</f>
        <v>0.42</v>
      </c>
      <c r="Z37" s="561">
        <f>+T37/F37</f>
        <v>0.59499999999999997</v>
      </c>
      <c r="AA37" s="503">
        <f>+Y37*E37</f>
        <v>0.33600000000000002</v>
      </c>
      <c r="AB37" s="504">
        <f>+Z37*E37</f>
        <v>0.47599999999999998</v>
      </c>
      <c r="AC37" s="208" t="s">
        <v>1850</v>
      </c>
      <c r="AD37" s="642" t="s">
        <v>1893</v>
      </c>
      <c r="AE37" s="759" t="s">
        <v>2272</v>
      </c>
      <c r="AF37" s="759" t="s">
        <v>2294</v>
      </c>
      <c r="AG37" s="759" t="s">
        <v>2411</v>
      </c>
      <c r="AH37" s="759" t="s">
        <v>2445</v>
      </c>
      <c r="AI37" s="759" t="s">
        <v>2558</v>
      </c>
      <c r="AJ37" s="180"/>
    </row>
    <row r="38" spans="1:36" ht="84.6" customHeight="1" thickBot="1" x14ac:dyDescent="0.4">
      <c r="A38" s="301"/>
      <c r="B38" s="1195" t="s">
        <v>65</v>
      </c>
      <c r="C38" s="1195" t="s">
        <v>66</v>
      </c>
      <c r="D38" s="452" t="s">
        <v>58</v>
      </c>
      <c r="E38" s="352">
        <v>0.2</v>
      </c>
      <c r="F38" s="480">
        <v>4</v>
      </c>
      <c r="G38" s="481">
        <v>1</v>
      </c>
      <c r="H38" s="482">
        <v>1</v>
      </c>
      <c r="I38" s="483">
        <f>+G38/F38</f>
        <v>0.25</v>
      </c>
      <c r="J38" s="486">
        <f t="shared" si="27"/>
        <v>0.25</v>
      </c>
      <c r="K38" s="483">
        <f>+(G38/F38)*E38</f>
        <v>0.05</v>
      </c>
      <c r="L38" s="486">
        <f t="shared" si="30"/>
        <v>0.05</v>
      </c>
      <c r="M38" s="481">
        <v>1</v>
      </c>
      <c r="N38" s="542">
        <v>0</v>
      </c>
      <c r="O38" s="542">
        <v>0</v>
      </c>
      <c r="P38" s="542">
        <v>1</v>
      </c>
      <c r="Q38" s="542">
        <v>0</v>
      </c>
      <c r="R38" s="542">
        <v>0</v>
      </c>
      <c r="S38" s="542">
        <f>+N38+O38+P38+Q38+R38</f>
        <v>1</v>
      </c>
      <c r="T38" s="542">
        <f t="shared" ref="T38" si="35">+S38+M38</f>
        <v>2</v>
      </c>
      <c r="U38" s="483">
        <f>+(M38/G38)</f>
        <v>1</v>
      </c>
      <c r="V38" s="486">
        <f>+S38/H38</f>
        <v>1</v>
      </c>
      <c r="W38" s="483">
        <f>+U38*E38</f>
        <v>0.2</v>
      </c>
      <c r="X38" s="486">
        <f>+V38*E38</f>
        <v>0.2</v>
      </c>
      <c r="Y38" s="560">
        <f>+M38/F38</f>
        <v>0.25</v>
      </c>
      <c r="Z38" s="561">
        <f>+T38/F38</f>
        <v>0.5</v>
      </c>
      <c r="AA38" s="503">
        <f>+Y38*E38</f>
        <v>0.05</v>
      </c>
      <c r="AB38" s="504">
        <f>+Z38*E38</f>
        <v>0.1</v>
      </c>
      <c r="AC38" s="208" t="s">
        <v>1850</v>
      </c>
      <c r="AD38" s="642" t="s">
        <v>1893</v>
      </c>
      <c r="AE38" s="759" t="s">
        <v>2272</v>
      </c>
      <c r="AF38" s="759" t="s">
        <v>2294</v>
      </c>
      <c r="AG38" s="759" t="s">
        <v>2411</v>
      </c>
      <c r="AH38" s="759" t="s">
        <v>2445</v>
      </c>
      <c r="AI38" s="759" t="s">
        <v>2558</v>
      </c>
      <c r="AJ38" s="180"/>
    </row>
    <row r="39" spans="1:36" ht="46.5" customHeight="1" thickBot="1" x14ac:dyDescent="0.45">
      <c r="A39" s="301"/>
      <c r="B39" s="1300" t="s">
        <v>1600</v>
      </c>
      <c r="C39" s="1299"/>
      <c r="D39" s="452"/>
      <c r="E39" s="476">
        <v>0.15</v>
      </c>
      <c r="F39" s="479"/>
      <c r="G39" s="481"/>
      <c r="H39" s="482"/>
      <c r="I39" s="478">
        <f>+AVERAGE(I40:I43)</f>
        <v>0.18333333333333335</v>
      </c>
      <c r="J39" s="478">
        <f>+AVERAGE(J40:J43)</f>
        <v>0.3520833333333333</v>
      </c>
      <c r="K39" s="478">
        <f>+K40+K41+K42+K43</f>
        <v>0.18333333333333335</v>
      </c>
      <c r="L39" s="478">
        <f>+L40+L41+L42+L43</f>
        <v>0.31458333333333333</v>
      </c>
      <c r="M39" s="479"/>
      <c r="N39" s="485"/>
      <c r="O39" s="485"/>
      <c r="P39" s="485"/>
      <c r="Q39" s="485"/>
      <c r="R39" s="527"/>
      <c r="S39" s="485"/>
      <c r="T39" s="485"/>
      <c r="U39" s="544">
        <f>+AVERAGE(U40:U43)</f>
        <v>1</v>
      </c>
      <c r="V39" s="544">
        <f>+AVERAGE(V40:V43)</f>
        <v>0.75</v>
      </c>
      <c r="W39" s="544">
        <f>+(W40+W41+W42+W43)*E39</f>
        <v>0.15</v>
      </c>
      <c r="X39" s="544">
        <f>+(X40+X41+X42+X43)*E39</f>
        <v>0.11249999999999999</v>
      </c>
      <c r="Y39" s="499">
        <f>+AVERAGE(Y40:Y43)</f>
        <v>0.27083333333333337</v>
      </c>
      <c r="Z39" s="556">
        <f>+AVERAGE(Z40:Z43)</f>
        <v>0.625</v>
      </c>
      <c r="AA39" s="499">
        <f>+(AA40+AA41+AA42+AA43)*E39</f>
        <v>3.6874999999999998E-2</v>
      </c>
      <c r="AB39" s="556">
        <f>+(AB40+AB41+AB42+AB43)</f>
        <v>0.57499999999999996</v>
      </c>
      <c r="AC39" s="201"/>
      <c r="AD39" s="450"/>
      <c r="AE39" s="450"/>
      <c r="AF39" s="450"/>
      <c r="AG39" s="450"/>
      <c r="AH39" s="450"/>
      <c r="AI39" s="225"/>
      <c r="AJ39" s="180"/>
    </row>
    <row r="40" spans="1:36" ht="89.4" customHeight="1" thickBot="1" x14ac:dyDescent="0.4">
      <c r="A40" s="301"/>
      <c r="B40" s="1199" t="s">
        <v>67</v>
      </c>
      <c r="C40" s="1199" t="s">
        <v>68</v>
      </c>
      <c r="D40" s="452" t="s">
        <v>12</v>
      </c>
      <c r="E40" s="352">
        <v>0.35</v>
      </c>
      <c r="F40" s="480">
        <v>4</v>
      </c>
      <c r="G40" s="481">
        <v>1</v>
      </c>
      <c r="H40" s="482">
        <v>1</v>
      </c>
      <c r="I40" s="483">
        <f>+G40/F40</f>
        <v>0.25</v>
      </c>
      <c r="J40" s="486">
        <f t="shared" si="27"/>
        <v>0.25</v>
      </c>
      <c r="K40" s="483">
        <f>+(G40/F40)*E40</f>
        <v>8.7499999999999994E-2</v>
      </c>
      <c r="L40" s="486">
        <f t="shared" si="30"/>
        <v>8.7499999999999994E-2</v>
      </c>
      <c r="M40" s="481">
        <v>1</v>
      </c>
      <c r="N40" s="542">
        <v>0</v>
      </c>
      <c r="O40" s="542">
        <v>1</v>
      </c>
      <c r="P40" s="542">
        <v>0</v>
      </c>
      <c r="Q40" s="1159">
        <v>0</v>
      </c>
      <c r="R40" s="546">
        <v>0</v>
      </c>
      <c r="S40" s="482">
        <f>+N40+O40+P40+Q40+R40</f>
        <v>1</v>
      </c>
      <c r="T40" s="482">
        <f t="shared" ref="T40" si="36">+S40+M40</f>
        <v>2</v>
      </c>
      <c r="U40" s="483">
        <f>+(M40/G40)</f>
        <v>1</v>
      </c>
      <c r="V40" s="486">
        <f>+S40/H40</f>
        <v>1</v>
      </c>
      <c r="W40" s="483">
        <f>+U40*E40</f>
        <v>0.35</v>
      </c>
      <c r="X40" s="486">
        <f>+V40*E40</f>
        <v>0.35</v>
      </c>
      <c r="Y40" s="560">
        <f>+M40/F40</f>
        <v>0.25</v>
      </c>
      <c r="Z40" s="561">
        <f>+T40/F40</f>
        <v>0.5</v>
      </c>
      <c r="AA40" s="503">
        <f>+Y40*E40</f>
        <v>8.7499999999999994E-2</v>
      </c>
      <c r="AB40" s="504">
        <f>+Z40*E40</f>
        <v>0.17499999999999999</v>
      </c>
      <c r="AC40" s="208" t="s">
        <v>1850</v>
      </c>
      <c r="AD40" s="642" t="s">
        <v>1893</v>
      </c>
      <c r="AE40" s="759" t="s">
        <v>2272</v>
      </c>
      <c r="AF40" s="759" t="s">
        <v>2294</v>
      </c>
      <c r="AG40" s="654" t="s">
        <v>1865</v>
      </c>
      <c r="AH40" s="654" t="s">
        <v>1865</v>
      </c>
      <c r="AI40" s="654" t="s">
        <v>1865</v>
      </c>
      <c r="AJ40" s="180"/>
    </row>
    <row r="41" spans="1:36" ht="64.2" customHeight="1" thickBot="1" x14ac:dyDescent="0.4">
      <c r="A41" s="301"/>
      <c r="B41" s="1195" t="s">
        <v>69</v>
      </c>
      <c r="C41" s="1195" t="s">
        <v>70</v>
      </c>
      <c r="D41" s="452" t="s">
        <v>12</v>
      </c>
      <c r="E41" s="352">
        <v>0.25</v>
      </c>
      <c r="F41" s="480">
        <v>20</v>
      </c>
      <c r="G41" s="481">
        <v>3</v>
      </c>
      <c r="H41" s="482">
        <v>4</v>
      </c>
      <c r="I41" s="490">
        <f>+G41/F41</f>
        <v>0.15</v>
      </c>
      <c r="J41" s="486">
        <f t="shared" si="27"/>
        <v>0.2</v>
      </c>
      <c r="K41" s="490">
        <f>+(G41/F41)*E41</f>
        <v>3.7499999999999999E-2</v>
      </c>
      <c r="L41" s="486">
        <f t="shared" si="30"/>
        <v>0.05</v>
      </c>
      <c r="M41" s="491">
        <v>5</v>
      </c>
      <c r="N41" s="542">
        <v>0</v>
      </c>
      <c r="O41" s="545">
        <v>0</v>
      </c>
      <c r="P41" s="545">
        <v>0</v>
      </c>
      <c r="Q41" s="1144">
        <v>0</v>
      </c>
      <c r="R41" s="546">
        <v>0</v>
      </c>
      <c r="S41" s="482">
        <f>+N41+O41+P41+Q41+R41</f>
        <v>0</v>
      </c>
      <c r="T41" s="482">
        <f t="shared" ref="T41:T43" si="37">+S41+M41</f>
        <v>5</v>
      </c>
      <c r="U41" s="483">
        <v>1</v>
      </c>
      <c r="V41" s="486">
        <f t="shared" ref="V41:V70" si="38">+S41/H41</f>
        <v>0</v>
      </c>
      <c r="W41" s="483">
        <f>+U41*E41</f>
        <v>0.25</v>
      </c>
      <c r="X41" s="486">
        <f t="shared" ref="X41:X89" si="39">+V41*E41</f>
        <v>0</v>
      </c>
      <c r="Y41" s="560">
        <f>+M41/F41</f>
        <v>0.25</v>
      </c>
      <c r="Z41" s="561">
        <f t="shared" ref="Z41:Z73" si="40">+T41/F41</f>
        <v>0.25</v>
      </c>
      <c r="AA41" s="503">
        <f>+Y41*E41</f>
        <v>6.25E-2</v>
      </c>
      <c r="AB41" s="504">
        <f>+Z41*E41</f>
        <v>6.25E-2</v>
      </c>
      <c r="AC41" s="208" t="s">
        <v>1850</v>
      </c>
      <c r="AD41" s="642" t="s">
        <v>1893</v>
      </c>
      <c r="AE41" s="759" t="s">
        <v>2272</v>
      </c>
      <c r="AF41" s="759" t="s">
        <v>2294</v>
      </c>
      <c r="AG41" s="759" t="s">
        <v>2411</v>
      </c>
      <c r="AH41" s="759" t="s">
        <v>2445</v>
      </c>
      <c r="AI41" s="759" t="s">
        <v>2558</v>
      </c>
      <c r="AJ41" s="180"/>
    </row>
    <row r="42" spans="1:36" ht="74.400000000000006" customHeight="1" thickBot="1" x14ac:dyDescent="0.4">
      <c r="A42" s="301"/>
      <c r="B42" s="1195" t="s">
        <v>71</v>
      </c>
      <c r="C42" s="1195" t="s">
        <v>72</v>
      </c>
      <c r="D42" s="452" t="s">
        <v>12</v>
      </c>
      <c r="E42" s="352">
        <v>0.25</v>
      </c>
      <c r="F42" s="480">
        <v>12</v>
      </c>
      <c r="G42" s="481">
        <v>1</v>
      </c>
      <c r="H42" s="492">
        <v>4</v>
      </c>
      <c r="I42" s="493">
        <f>+G42/F42</f>
        <v>8.3333333333333329E-2</v>
      </c>
      <c r="J42" s="486">
        <f t="shared" si="27"/>
        <v>0.33333333333333331</v>
      </c>
      <c r="K42" s="494">
        <f>+(G42/F42)*E42</f>
        <v>2.0833333333333332E-2</v>
      </c>
      <c r="L42" s="486">
        <f t="shared" si="30"/>
        <v>8.3333333333333329E-2</v>
      </c>
      <c r="M42" s="495">
        <v>1</v>
      </c>
      <c r="N42" s="545">
        <v>0</v>
      </c>
      <c r="O42" s="944">
        <v>2</v>
      </c>
      <c r="P42" s="944">
        <v>3</v>
      </c>
      <c r="Q42" s="1160">
        <v>0</v>
      </c>
      <c r="R42" s="546">
        <v>3</v>
      </c>
      <c r="S42" s="482">
        <f>+N42+O42+P42+Q42+R42</f>
        <v>8</v>
      </c>
      <c r="T42" s="482">
        <f t="shared" si="37"/>
        <v>9</v>
      </c>
      <c r="U42" s="483">
        <f>+(M42/G42)</f>
        <v>1</v>
      </c>
      <c r="V42" s="486">
        <v>1</v>
      </c>
      <c r="W42" s="483">
        <f>+U42*E42</f>
        <v>0.25</v>
      </c>
      <c r="X42" s="486">
        <f t="shared" si="39"/>
        <v>0.25</v>
      </c>
      <c r="Y42" s="560">
        <f>+M42/F42</f>
        <v>8.3333333333333329E-2</v>
      </c>
      <c r="Z42" s="561">
        <f t="shared" si="40"/>
        <v>0.75</v>
      </c>
      <c r="AA42" s="503">
        <f>+Y42*E42</f>
        <v>2.0833333333333332E-2</v>
      </c>
      <c r="AB42" s="504">
        <f>+Z42*E42</f>
        <v>0.1875</v>
      </c>
      <c r="AC42" s="208" t="s">
        <v>1850</v>
      </c>
      <c r="AD42" s="642" t="s">
        <v>1893</v>
      </c>
      <c r="AE42" s="759" t="s">
        <v>2272</v>
      </c>
      <c r="AF42" s="759" t="s">
        <v>2294</v>
      </c>
      <c r="AG42" s="759" t="s">
        <v>2411</v>
      </c>
      <c r="AH42" s="759" t="s">
        <v>2445</v>
      </c>
      <c r="AI42" s="759" t="s">
        <v>2558</v>
      </c>
      <c r="AJ42" s="180"/>
    </row>
    <row r="43" spans="1:36" ht="90" customHeight="1" thickBot="1" x14ac:dyDescent="0.4">
      <c r="A43" s="301"/>
      <c r="B43" s="1204" t="s">
        <v>73</v>
      </c>
      <c r="C43" s="1204" t="s">
        <v>74</v>
      </c>
      <c r="D43" s="452" t="s">
        <v>31</v>
      </c>
      <c r="E43" s="352">
        <v>0.15</v>
      </c>
      <c r="F43" s="480">
        <v>8</v>
      </c>
      <c r="G43" s="481">
        <v>2</v>
      </c>
      <c r="H43" s="492">
        <v>5</v>
      </c>
      <c r="I43" s="496">
        <f>+G43/F43</f>
        <v>0.25</v>
      </c>
      <c r="J43" s="486">
        <f t="shared" si="27"/>
        <v>0.625</v>
      </c>
      <c r="K43" s="490">
        <f>+(G43/F43)*E43</f>
        <v>3.7499999999999999E-2</v>
      </c>
      <c r="L43" s="486">
        <f t="shared" si="30"/>
        <v>9.375E-2</v>
      </c>
      <c r="M43" s="497">
        <v>4</v>
      </c>
      <c r="N43" s="546">
        <v>0</v>
      </c>
      <c r="O43" s="546">
        <v>2</v>
      </c>
      <c r="P43" s="546">
        <v>0</v>
      </c>
      <c r="Q43" s="1144">
        <v>0</v>
      </c>
      <c r="R43" s="546">
        <v>4</v>
      </c>
      <c r="S43" s="491">
        <f>+N43+O43+P43+Q43+R43</f>
        <v>6</v>
      </c>
      <c r="T43" s="482">
        <f t="shared" si="37"/>
        <v>10</v>
      </c>
      <c r="U43" s="483">
        <v>1</v>
      </c>
      <c r="V43" s="486">
        <v>1</v>
      </c>
      <c r="W43" s="483">
        <f>+U43*E43</f>
        <v>0.15</v>
      </c>
      <c r="X43" s="486">
        <f t="shared" si="39"/>
        <v>0.15</v>
      </c>
      <c r="Y43" s="560">
        <f>+M43/F43</f>
        <v>0.5</v>
      </c>
      <c r="Z43" s="562">
        <v>1</v>
      </c>
      <c r="AA43" s="503">
        <f>+Y43*E43</f>
        <v>7.4999999999999997E-2</v>
      </c>
      <c r="AB43" s="504">
        <f>+Z43*E43</f>
        <v>0.15</v>
      </c>
      <c r="AC43" s="208" t="s">
        <v>1850</v>
      </c>
      <c r="AD43" s="642" t="s">
        <v>1893</v>
      </c>
      <c r="AE43" s="759" t="s">
        <v>2272</v>
      </c>
      <c r="AF43" s="759" t="s">
        <v>2294</v>
      </c>
      <c r="AG43" s="1038" t="s">
        <v>2364</v>
      </c>
      <c r="AH43" s="759" t="s">
        <v>2445</v>
      </c>
      <c r="AI43" s="759" t="s">
        <v>2558</v>
      </c>
      <c r="AJ43" s="180"/>
    </row>
    <row r="44" spans="1:36" ht="100.5" customHeight="1" thickBot="1" x14ac:dyDescent="0.45">
      <c r="A44" s="301"/>
      <c r="B44" s="1300" t="s">
        <v>1601</v>
      </c>
      <c r="C44" s="1299"/>
      <c r="D44" s="452"/>
      <c r="E44" s="476">
        <v>0.15</v>
      </c>
      <c r="F44" s="479"/>
      <c r="G44" s="481"/>
      <c r="H44" s="492"/>
      <c r="I44" s="498">
        <f>+AVERAGE(I45:I51)</f>
        <v>0.30555555555555552</v>
      </c>
      <c r="J44" s="499">
        <f>+AVERAGE(J45:J51)</f>
        <v>0.6347222222222223</v>
      </c>
      <c r="K44" s="500">
        <f>+K45+K46+K47+K48+K49+K50+K51</f>
        <v>0.16666666666666666</v>
      </c>
      <c r="L44" s="501">
        <f>+L45+L46+L47+L48+L49+L50+L51</f>
        <v>0.53083333333333338</v>
      </c>
      <c r="M44" s="502"/>
      <c r="N44" s="548"/>
      <c r="O44" s="548"/>
      <c r="P44" s="549"/>
      <c r="Q44" s="1161"/>
      <c r="R44" s="1201"/>
      <c r="S44" s="548"/>
      <c r="T44" s="548"/>
      <c r="U44" s="544">
        <f>+AVERAGE(U45:U51)</f>
        <v>0.33333333333333331</v>
      </c>
      <c r="V44" s="544">
        <f>+AVERAGE(V45:V51)</f>
        <v>0.66666666666666663</v>
      </c>
      <c r="W44" s="544">
        <f>+(W45+W46+W47+W48+W49+W50+W51)*E44</f>
        <v>1.4999999999999999E-2</v>
      </c>
      <c r="X44" s="544">
        <f>+(X45+X46+X47+X48+X49+X50+X51)*E44</f>
        <v>0.06</v>
      </c>
      <c r="Y44" s="499">
        <f>+AVERAGE(Y45:Y51)</f>
        <v>8.3333333333333329E-2</v>
      </c>
      <c r="Z44" s="564">
        <f>+Y44+((Z45/7)+(Z46/7)+(Z47/7)+(Z48/7)+(Z49/7)+(Z50/7)+((Z51-Y51)/7))</f>
        <v>0.47022380952380949</v>
      </c>
      <c r="AA44" s="499">
        <f>+(AA45+AA46+AA47+AA48+AA49+AA50+AA51)*E44</f>
        <v>3.7499999999999999E-3</v>
      </c>
      <c r="AB44" s="556">
        <f>+(AB45+AB46+AB47+AB48+AB49+AB50+AB51)</f>
        <v>0.29582333333333333</v>
      </c>
      <c r="AC44" s="201"/>
      <c r="AD44" s="450"/>
      <c r="AE44" s="450"/>
      <c r="AF44" s="450"/>
      <c r="AG44" s="450"/>
      <c r="AH44" s="450"/>
      <c r="AI44" s="225"/>
      <c r="AJ44" s="180"/>
    </row>
    <row r="45" spans="1:36" ht="138" customHeight="1" thickBot="1" x14ac:dyDescent="0.4">
      <c r="A45" s="301"/>
      <c r="B45" s="1195" t="s">
        <v>75</v>
      </c>
      <c r="C45" s="1195" t="s">
        <v>76</v>
      </c>
      <c r="D45" s="452" t="s">
        <v>12</v>
      </c>
      <c r="E45" s="352">
        <v>0.25</v>
      </c>
      <c r="F45" s="480">
        <v>2</v>
      </c>
      <c r="G45" s="481">
        <v>1</v>
      </c>
      <c r="H45" s="946">
        <v>2</v>
      </c>
      <c r="I45" s="496">
        <f t="shared" ref="I45:I51" si="41">+G45/F45</f>
        <v>0.5</v>
      </c>
      <c r="J45" s="503">
        <f>+H45/F45</f>
        <v>1</v>
      </c>
      <c r="K45" s="504">
        <f t="shared" ref="K45:K51" si="42">+(G45/F45)*E45</f>
        <v>0.125</v>
      </c>
      <c r="L45" s="505">
        <f>+(H45/F45)*E45</f>
        <v>0.25</v>
      </c>
      <c r="M45" s="506">
        <v>0</v>
      </c>
      <c r="N45" s="546">
        <v>0</v>
      </c>
      <c r="O45" s="945">
        <v>0</v>
      </c>
      <c r="P45" s="1045">
        <v>0</v>
      </c>
      <c r="Q45" s="945">
        <v>0</v>
      </c>
      <c r="R45" s="1045">
        <v>0</v>
      </c>
      <c r="S45" s="507">
        <f>+N45+O45+P45+Q45+R45</f>
        <v>0</v>
      </c>
      <c r="T45" s="550">
        <f>+S45+M45</f>
        <v>0</v>
      </c>
      <c r="U45" s="483">
        <f t="shared" ref="U45:U51" si="43">+(M45/G45)</f>
        <v>0</v>
      </c>
      <c r="V45" s="486">
        <f t="shared" si="38"/>
        <v>0</v>
      </c>
      <c r="W45" s="483">
        <f>+U45*E45</f>
        <v>0</v>
      </c>
      <c r="X45" s="486">
        <f t="shared" si="39"/>
        <v>0</v>
      </c>
      <c r="Y45" s="560">
        <f t="shared" ref="Y45:Y51" si="44">+M45/F45</f>
        <v>0</v>
      </c>
      <c r="Z45" s="567">
        <f t="shared" si="40"/>
        <v>0</v>
      </c>
      <c r="AA45" s="503">
        <f>+Y45*E45</f>
        <v>0</v>
      </c>
      <c r="AB45" s="504">
        <f>+Z45*E45</f>
        <v>0</v>
      </c>
      <c r="AC45" s="208" t="s">
        <v>1850</v>
      </c>
      <c r="AD45" s="642" t="s">
        <v>1893</v>
      </c>
      <c r="AE45" s="759" t="s">
        <v>2272</v>
      </c>
      <c r="AF45" s="759" t="s">
        <v>2294</v>
      </c>
      <c r="AG45" s="759" t="s">
        <v>2411</v>
      </c>
      <c r="AH45" s="759" t="s">
        <v>2445</v>
      </c>
      <c r="AI45" s="759" t="s">
        <v>2558</v>
      </c>
      <c r="AJ45" s="180"/>
    </row>
    <row r="46" spans="1:36" ht="138" customHeight="1" thickBot="1" x14ac:dyDescent="0.4">
      <c r="A46" s="301"/>
      <c r="B46" s="1195" t="s">
        <v>77</v>
      </c>
      <c r="C46" s="1195" t="s">
        <v>78</v>
      </c>
      <c r="D46" s="452" t="s">
        <v>12</v>
      </c>
      <c r="E46" s="352">
        <v>0.1</v>
      </c>
      <c r="F46" s="480">
        <v>1</v>
      </c>
      <c r="G46" s="481">
        <v>0</v>
      </c>
      <c r="H46" s="492">
        <v>1</v>
      </c>
      <c r="I46" s="496"/>
      <c r="J46" s="503">
        <f t="shared" ref="J46:J50" si="45">+H46/F46</f>
        <v>1</v>
      </c>
      <c r="K46" s="504"/>
      <c r="L46" s="505">
        <f>+(H46/F46)*E46</f>
        <v>0.1</v>
      </c>
      <c r="M46" s="507"/>
      <c r="N46" s="546">
        <v>0</v>
      </c>
      <c r="O46" s="947">
        <v>0</v>
      </c>
      <c r="P46" s="1046">
        <v>1</v>
      </c>
      <c r="Q46" s="947">
        <v>0</v>
      </c>
      <c r="R46" s="1045">
        <v>0</v>
      </c>
      <c r="S46" s="507">
        <f>+N46+O46+P46+Q46+R46</f>
        <v>1</v>
      </c>
      <c r="T46" s="550">
        <f t="shared" ref="T46:T48" si="46">+S46+M46</f>
        <v>1</v>
      </c>
      <c r="U46" s="483"/>
      <c r="V46" s="486">
        <f>+S46/H46</f>
        <v>1</v>
      </c>
      <c r="W46" s="483"/>
      <c r="X46" s="486">
        <f t="shared" si="39"/>
        <v>0.1</v>
      </c>
      <c r="Y46" s="560"/>
      <c r="Z46" s="567">
        <f t="shared" si="40"/>
        <v>1</v>
      </c>
      <c r="AA46" s="503">
        <v>0</v>
      </c>
      <c r="AB46" s="504">
        <f t="shared" ref="AB46:AB51" si="47">+Z46*E46</f>
        <v>0.1</v>
      </c>
      <c r="AC46" s="208" t="s">
        <v>1850</v>
      </c>
      <c r="AD46" s="661" t="s">
        <v>1920</v>
      </c>
      <c r="AE46" s="759" t="s">
        <v>2272</v>
      </c>
      <c r="AF46" s="759" t="s">
        <v>2294</v>
      </c>
      <c r="AG46" s="1038" t="s">
        <v>2410</v>
      </c>
      <c r="AH46" s="759" t="s">
        <v>2445</v>
      </c>
      <c r="AI46" s="759" t="s">
        <v>2558</v>
      </c>
      <c r="AJ46" s="180"/>
    </row>
    <row r="47" spans="1:36" ht="138" customHeight="1" thickBot="1" x14ac:dyDescent="0.4">
      <c r="A47" s="301"/>
      <c r="B47" s="1195" t="s">
        <v>79</v>
      </c>
      <c r="C47" s="1195" t="s">
        <v>80</v>
      </c>
      <c r="D47" s="452" t="s">
        <v>12</v>
      </c>
      <c r="E47" s="352">
        <v>0.1</v>
      </c>
      <c r="F47" s="480">
        <v>1200</v>
      </c>
      <c r="G47" s="481">
        <v>200</v>
      </c>
      <c r="H47" s="492">
        <v>550</v>
      </c>
      <c r="I47" s="496">
        <f t="shared" si="41"/>
        <v>0.16666666666666666</v>
      </c>
      <c r="J47" s="503">
        <f t="shared" si="45"/>
        <v>0.45833333333333331</v>
      </c>
      <c r="K47" s="504">
        <f t="shared" si="42"/>
        <v>1.6666666666666666E-2</v>
      </c>
      <c r="L47" s="505">
        <f>+(H47/F47)*E47</f>
        <v>4.5833333333333337E-2</v>
      </c>
      <c r="M47" s="507">
        <v>0</v>
      </c>
      <c r="N47" s="546">
        <v>194</v>
      </c>
      <c r="O47" s="948">
        <v>0</v>
      </c>
      <c r="P47" s="1045">
        <v>356</v>
      </c>
      <c r="Q47" s="948">
        <v>0</v>
      </c>
      <c r="R47" s="1045">
        <v>0</v>
      </c>
      <c r="S47" s="507">
        <f t="shared" ref="S47:S50" si="48">+N47+O47+P47+Q47+R47</f>
        <v>550</v>
      </c>
      <c r="T47" s="550">
        <f t="shared" si="46"/>
        <v>550</v>
      </c>
      <c r="U47" s="483">
        <f t="shared" si="43"/>
        <v>0</v>
      </c>
      <c r="V47" s="486">
        <f t="shared" si="38"/>
        <v>1</v>
      </c>
      <c r="W47" s="483">
        <f>+U47*E47</f>
        <v>0</v>
      </c>
      <c r="X47" s="486">
        <f t="shared" si="39"/>
        <v>0.1</v>
      </c>
      <c r="Y47" s="560">
        <f t="shared" si="44"/>
        <v>0</v>
      </c>
      <c r="Z47" s="561">
        <f t="shared" si="40"/>
        <v>0.45833333333333331</v>
      </c>
      <c r="AA47" s="503">
        <f>+Y47*E47</f>
        <v>0</v>
      </c>
      <c r="AB47" s="504">
        <f t="shared" si="47"/>
        <v>4.5833333333333337E-2</v>
      </c>
      <c r="AC47" s="208" t="s">
        <v>1850</v>
      </c>
      <c r="AD47" s="642" t="s">
        <v>1893</v>
      </c>
      <c r="AE47" s="759" t="s">
        <v>2272</v>
      </c>
      <c r="AF47" s="759" t="s">
        <v>2345</v>
      </c>
      <c r="AG47" s="759" t="s">
        <v>2411</v>
      </c>
      <c r="AH47" s="759" t="s">
        <v>2445</v>
      </c>
      <c r="AI47" s="759" t="s">
        <v>2558</v>
      </c>
      <c r="AJ47" s="180"/>
    </row>
    <row r="48" spans="1:36" ht="138" customHeight="1" thickBot="1" x14ac:dyDescent="0.4">
      <c r="A48" s="301"/>
      <c r="B48" s="1195" t="s">
        <v>81</v>
      </c>
      <c r="C48" s="1195" t="s">
        <v>82</v>
      </c>
      <c r="D48" s="452" t="s">
        <v>12</v>
      </c>
      <c r="E48" s="352">
        <v>0.1</v>
      </c>
      <c r="F48" s="480">
        <v>1</v>
      </c>
      <c r="G48" s="481">
        <v>0</v>
      </c>
      <c r="H48" s="946">
        <v>0.5</v>
      </c>
      <c r="I48" s="496"/>
      <c r="J48" s="503">
        <f t="shared" si="45"/>
        <v>0.5</v>
      </c>
      <c r="K48" s="504"/>
      <c r="L48" s="505">
        <f t="shared" si="30"/>
        <v>0.05</v>
      </c>
      <c r="M48" s="508"/>
      <c r="N48" s="546">
        <v>0</v>
      </c>
      <c r="O48" s="948">
        <v>0</v>
      </c>
      <c r="P48" s="1045">
        <v>0</v>
      </c>
      <c r="Q48" s="948">
        <v>0</v>
      </c>
      <c r="R48" s="1274">
        <v>1</v>
      </c>
      <c r="S48" s="507">
        <f t="shared" si="48"/>
        <v>1</v>
      </c>
      <c r="T48" s="550">
        <f t="shared" si="46"/>
        <v>1</v>
      </c>
      <c r="U48" s="483"/>
      <c r="V48" s="486">
        <v>1</v>
      </c>
      <c r="W48" s="483"/>
      <c r="X48" s="486">
        <f t="shared" si="39"/>
        <v>0.1</v>
      </c>
      <c r="Y48" s="560"/>
      <c r="Z48" s="561">
        <f t="shared" si="40"/>
        <v>1</v>
      </c>
      <c r="AA48" s="503">
        <v>0</v>
      </c>
      <c r="AB48" s="504">
        <f t="shared" si="47"/>
        <v>0.1</v>
      </c>
      <c r="AC48" s="208" t="s">
        <v>1850</v>
      </c>
      <c r="AD48" s="654" t="s">
        <v>1922</v>
      </c>
      <c r="AE48" s="654" t="s">
        <v>2285</v>
      </c>
      <c r="AF48" s="759" t="s">
        <v>2345</v>
      </c>
      <c r="AG48" s="759" t="s">
        <v>2411</v>
      </c>
      <c r="AH48" s="759" t="s">
        <v>2445</v>
      </c>
      <c r="AI48" s="759" t="s">
        <v>2558</v>
      </c>
      <c r="AJ48" s="180"/>
    </row>
    <row r="49" spans="1:36" ht="138" customHeight="1" thickBot="1" x14ac:dyDescent="0.4">
      <c r="A49" s="301"/>
      <c r="B49" s="1195" t="s">
        <v>83</v>
      </c>
      <c r="C49" s="1195" t="s">
        <v>84</v>
      </c>
      <c r="D49" s="452" t="s">
        <v>12</v>
      </c>
      <c r="E49" s="352">
        <v>0.25</v>
      </c>
      <c r="F49" s="480">
        <v>5</v>
      </c>
      <c r="G49" s="481">
        <v>0</v>
      </c>
      <c r="H49" s="492">
        <v>0</v>
      </c>
      <c r="I49" s="496"/>
      <c r="J49" s="503"/>
      <c r="K49" s="504"/>
      <c r="L49" s="505">
        <f t="shared" si="30"/>
        <v>0</v>
      </c>
      <c r="M49" s="507"/>
      <c r="N49" s="546"/>
      <c r="O49" s="947"/>
      <c r="P49" s="1047"/>
      <c r="Q49" s="947"/>
      <c r="R49" s="1045"/>
      <c r="S49" s="507">
        <f t="shared" si="48"/>
        <v>0</v>
      </c>
      <c r="T49" s="550">
        <f t="shared" ref="T49:T51" si="49">+S49+M49</f>
        <v>0</v>
      </c>
      <c r="U49" s="483"/>
      <c r="V49" s="486"/>
      <c r="W49" s="483"/>
      <c r="X49" s="486">
        <f t="shared" si="39"/>
        <v>0</v>
      </c>
      <c r="Y49" s="560"/>
      <c r="Z49" s="561">
        <v>0</v>
      </c>
      <c r="AA49" s="503">
        <v>0</v>
      </c>
      <c r="AB49" s="504">
        <f t="shared" si="47"/>
        <v>0</v>
      </c>
      <c r="AC49" s="208" t="s">
        <v>1850</v>
      </c>
      <c r="AD49" s="642" t="s">
        <v>1893</v>
      </c>
      <c r="AE49" s="759" t="s">
        <v>2272</v>
      </c>
      <c r="AF49" s="759" t="s">
        <v>2294</v>
      </c>
      <c r="AG49" s="759" t="s">
        <v>2411</v>
      </c>
      <c r="AH49" s="759" t="s">
        <v>2445</v>
      </c>
      <c r="AI49" s="759" t="s">
        <v>2558</v>
      </c>
      <c r="AJ49" s="180"/>
    </row>
    <row r="50" spans="1:36" ht="138" customHeight="1" thickBot="1" x14ac:dyDescent="0.4">
      <c r="A50" s="301"/>
      <c r="B50" s="1195" t="s">
        <v>85</v>
      </c>
      <c r="C50" s="1195" t="s">
        <v>86</v>
      </c>
      <c r="D50" s="452" t="s">
        <v>12</v>
      </c>
      <c r="E50" s="352">
        <v>0.1</v>
      </c>
      <c r="F50" s="480">
        <v>5</v>
      </c>
      <c r="G50" s="481">
        <v>0</v>
      </c>
      <c r="H50" s="492">
        <v>3</v>
      </c>
      <c r="I50" s="496"/>
      <c r="J50" s="503">
        <f t="shared" si="45"/>
        <v>0.6</v>
      </c>
      <c r="K50" s="509"/>
      <c r="L50" s="505">
        <f t="shared" si="30"/>
        <v>0.06</v>
      </c>
      <c r="M50" s="547"/>
      <c r="N50" s="546">
        <v>0</v>
      </c>
      <c r="O50" s="542">
        <v>0</v>
      </c>
      <c r="P50" s="1048">
        <v>0</v>
      </c>
      <c r="Q50" s="1159">
        <v>0</v>
      </c>
      <c r="R50" s="546">
        <v>0</v>
      </c>
      <c r="S50" s="1162">
        <f t="shared" si="48"/>
        <v>0</v>
      </c>
      <c r="T50" s="550">
        <f t="shared" si="49"/>
        <v>0</v>
      </c>
      <c r="U50" s="483"/>
      <c r="V50" s="486">
        <f t="shared" si="38"/>
        <v>0</v>
      </c>
      <c r="W50" s="483"/>
      <c r="X50" s="486">
        <f t="shared" si="39"/>
        <v>0</v>
      </c>
      <c r="Y50" s="560"/>
      <c r="Z50" s="562">
        <f t="shared" si="40"/>
        <v>0</v>
      </c>
      <c r="AA50" s="503">
        <v>0</v>
      </c>
      <c r="AB50" s="504">
        <f t="shared" si="47"/>
        <v>0</v>
      </c>
      <c r="AC50" s="208" t="s">
        <v>1850</v>
      </c>
      <c r="AD50" s="661" t="s">
        <v>1920</v>
      </c>
      <c r="AE50" s="759" t="s">
        <v>2272</v>
      </c>
      <c r="AF50" s="759" t="s">
        <v>2294</v>
      </c>
      <c r="AG50" s="759" t="s">
        <v>2411</v>
      </c>
      <c r="AH50" s="759" t="s">
        <v>2445</v>
      </c>
      <c r="AI50" s="759" t="s">
        <v>2558</v>
      </c>
      <c r="AJ50" s="180"/>
    </row>
    <row r="51" spans="1:36" ht="138" customHeight="1" thickBot="1" x14ac:dyDescent="0.4">
      <c r="A51" s="301"/>
      <c r="B51" s="1204" t="s">
        <v>87</v>
      </c>
      <c r="C51" s="1204" t="s">
        <v>88</v>
      </c>
      <c r="D51" s="452" t="s">
        <v>12</v>
      </c>
      <c r="E51" s="352">
        <v>0.1</v>
      </c>
      <c r="F51" s="480">
        <f>33*4</f>
        <v>132</v>
      </c>
      <c r="G51" s="481">
        <v>33</v>
      </c>
      <c r="H51" s="492">
        <v>33</v>
      </c>
      <c r="I51" s="496">
        <f t="shared" si="41"/>
        <v>0.25</v>
      </c>
      <c r="J51" s="503">
        <f>+H51/F51</f>
        <v>0.25</v>
      </c>
      <c r="K51" s="505">
        <f t="shared" si="42"/>
        <v>2.5000000000000001E-2</v>
      </c>
      <c r="L51" s="505">
        <f t="shared" si="30"/>
        <v>2.5000000000000001E-2</v>
      </c>
      <c r="M51" s="547">
        <v>33</v>
      </c>
      <c r="N51" s="546">
        <v>33</v>
      </c>
      <c r="O51" s="542">
        <v>0</v>
      </c>
      <c r="P51" s="542">
        <v>0</v>
      </c>
      <c r="Q51" s="542">
        <v>0</v>
      </c>
      <c r="R51" s="1275">
        <v>0</v>
      </c>
      <c r="S51" s="507">
        <f>+N51+O51+P51+Q51+R51</f>
        <v>33</v>
      </c>
      <c r="T51" s="550">
        <f t="shared" si="49"/>
        <v>66</v>
      </c>
      <c r="U51" s="483">
        <f t="shared" si="43"/>
        <v>1</v>
      </c>
      <c r="V51" s="520">
        <v>1</v>
      </c>
      <c r="W51" s="483">
        <f>+U51*E51</f>
        <v>0.1</v>
      </c>
      <c r="X51" s="486">
        <f t="shared" si="39"/>
        <v>0.1</v>
      </c>
      <c r="Y51" s="560">
        <f t="shared" si="44"/>
        <v>0.25</v>
      </c>
      <c r="Z51" s="562">
        <f>+Y51+6.25%+6.25%+6.25%+3.12%+3.12%</f>
        <v>0.49990000000000001</v>
      </c>
      <c r="AA51" s="503">
        <f>+Y51*E51</f>
        <v>2.5000000000000001E-2</v>
      </c>
      <c r="AB51" s="504">
        <f t="shared" si="47"/>
        <v>4.9990000000000007E-2</v>
      </c>
      <c r="AC51" s="208" t="s">
        <v>1850</v>
      </c>
      <c r="AD51" s="642" t="s">
        <v>1893</v>
      </c>
      <c r="AE51" s="759" t="s">
        <v>2272</v>
      </c>
      <c r="AF51" s="759" t="s">
        <v>2294</v>
      </c>
      <c r="AG51" s="654" t="s">
        <v>1865</v>
      </c>
      <c r="AH51" s="759" t="s">
        <v>2445</v>
      </c>
      <c r="AI51" s="759" t="s">
        <v>2558</v>
      </c>
      <c r="AJ51" s="180"/>
    </row>
    <row r="52" spans="1:36" ht="138" customHeight="1" thickBot="1" x14ac:dyDescent="0.45">
      <c r="A52" s="301"/>
      <c r="B52" s="1300" t="s">
        <v>1602</v>
      </c>
      <c r="C52" s="1299"/>
      <c r="D52" s="452"/>
      <c r="E52" s="476">
        <v>0.15</v>
      </c>
      <c r="F52" s="479"/>
      <c r="G52" s="479"/>
      <c r="H52" s="510"/>
      <c r="I52" s="498">
        <f>+AVERAGE(I53:I56)</f>
        <v>0.25</v>
      </c>
      <c r="J52" s="478">
        <f>+AVERAGE(J53:J56)</f>
        <v>0.32750000000000001</v>
      </c>
      <c r="K52" s="511">
        <f>+K53+K54+K55+K56</f>
        <v>0.125</v>
      </c>
      <c r="L52" s="478">
        <f>+L53+L54+L55+L56</f>
        <v>0.32750000000000001</v>
      </c>
      <c r="M52" s="477"/>
      <c r="N52" s="485"/>
      <c r="O52" s="485"/>
      <c r="P52" s="485"/>
      <c r="Q52" s="485"/>
      <c r="R52" s="1200"/>
      <c r="S52" s="477"/>
      <c r="T52" s="345"/>
      <c r="U52" s="544">
        <f>+AVERAGE(U53:U56)</f>
        <v>1</v>
      </c>
      <c r="V52" s="544">
        <f>+AVERAGE(V53:V56)</f>
        <v>0.75</v>
      </c>
      <c r="W52" s="544">
        <f>+(W53+W54+W55+W56)*E52</f>
        <v>7.4999999999999997E-2</v>
      </c>
      <c r="X52" s="544">
        <f>+(X53+X54+X55+X56)*E52</f>
        <v>0.11249999999999999</v>
      </c>
      <c r="Y52" s="499">
        <f>+AVERAGE(Y53:Y56)</f>
        <v>0.26200000000000001</v>
      </c>
      <c r="Z52" s="564">
        <f>+AVERAGE(Z53:Z56)</f>
        <v>0.50180000000000002</v>
      </c>
      <c r="AA52" s="499">
        <f>+(AA53+AA54+AA55+AA56)*E52</f>
        <v>1.9650000000000001E-2</v>
      </c>
      <c r="AB52" s="556">
        <f>+(AB53+AB54+AB55+AB56)</f>
        <v>0.50180000000000002</v>
      </c>
      <c r="AC52" s="201"/>
      <c r="AD52" s="450"/>
      <c r="AE52" s="450"/>
      <c r="AF52" s="450"/>
      <c r="AG52" s="450"/>
      <c r="AH52" s="450"/>
      <c r="AI52" s="225"/>
      <c r="AJ52" s="180"/>
    </row>
    <row r="53" spans="1:36" ht="138" customHeight="1" thickBot="1" x14ac:dyDescent="0.4">
      <c r="A53" s="301"/>
      <c r="B53" s="1195" t="s">
        <v>89</v>
      </c>
      <c r="C53" s="1195" t="s">
        <v>90</v>
      </c>
      <c r="D53" s="452" t="s">
        <v>12</v>
      </c>
      <c r="E53" s="352">
        <v>0.25</v>
      </c>
      <c r="F53" s="480">
        <v>2500</v>
      </c>
      <c r="G53" s="481">
        <v>0</v>
      </c>
      <c r="H53" s="492">
        <v>835</v>
      </c>
      <c r="I53" s="496"/>
      <c r="J53" s="486">
        <f>+H53/F53</f>
        <v>0.33400000000000002</v>
      </c>
      <c r="K53" s="486"/>
      <c r="L53" s="486">
        <f>+(H53/F53)*E53</f>
        <v>8.3500000000000005E-2</v>
      </c>
      <c r="M53" s="482"/>
      <c r="N53" s="546">
        <v>0</v>
      </c>
      <c r="O53" s="542">
        <v>305</v>
      </c>
      <c r="P53" s="542">
        <v>1013</v>
      </c>
      <c r="Q53" s="542">
        <v>0</v>
      </c>
      <c r="R53" s="542">
        <v>0</v>
      </c>
      <c r="S53" s="482">
        <f>+N53+O53+P53+Q53+R53</f>
        <v>1318</v>
      </c>
      <c r="T53" s="551">
        <f t="shared" ref="T53" si="50">+S53+M53</f>
        <v>1318</v>
      </c>
      <c r="U53" s="483"/>
      <c r="V53" s="486">
        <v>1</v>
      </c>
      <c r="W53" s="483"/>
      <c r="X53" s="486">
        <f t="shared" si="39"/>
        <v>0.25</v>
      </c>
      <c r="Y53" s="560"/>
      <c r="Z53" s="567">
        <f t="shared" si="40"/>
        <v>0.5272</v>
      </c>
      <c r="AA53" s="503">
        <v>0</v>
      </c>
      <c r="AB53" s="504">
        <f t="shared" ref="AB53:AB54" si="51">+Z53*E53</f>
        <v>0.1318</v>
      </c>
      <c r="AC53" s="208" t="s">
        <v>1850</v>
      </c>
      <c r="AD53" s="661" t="s">
        <v>1920</v>
      </c>
      <c r="AE53" s="759" t="s">
        <v>2272</v>
      </c>
      <c r="AF53" s="759" t="s">
        <v>2294</v>
      </c>
      <c r="AG53" s="759" t="s">
        <v>2411</v>
      </c>
      <c r="AH53" s="759" t="s">
        <v>2445</v>
      </c>
      <c r="AI53" s="759" t="s">
        <v>2558</v>
      </c>
      <c r="AJ53" s="180"/>
    </row>
    <row r="54" spans="1:36" ht="138" customHeight="1" thickBot="1" x14ac:dyDescent="0.4">
      <c r="A54" s="301"/>
      <c r="B54" s="1195" t="s">
        <v>91</v>
      </c>
      <c r="C54" s="1195" t="s">
        <v>92</v>
      </c>
      <c r="D54" s="452" t="s">
        <v>12</v>
      </c>
      <c r="E54" s="352">
        <v>0.25</v>
      </c>
      <c r="F54" s="480">
        <v>4</v>
      </c>
      <c r="G54" s="481">
        <v>0</v>
      </c>
      <c r="H54" s="492">
        <v>2</v>
      </c>
      <c r="I54" s="496"/>
      <c r="J54" s="486">
        <f t="shared" ref="J54:J90" si="52">+H54/F54</f>
        <v>0.5</v>
      </c>
      <c r="K54" s="486"/>
      <c r="L54" s="486">
        <f t="shared" si="30"/>
        <v>0.125</v>
      </c>
      <c r="M54" s="482"/>
      <c r="N54" s="546">
        <v>0</v>
      </c>
      <c r="O54" s="542">
        <v>0</v>
      </c>
      <c r="P54" s="542">
        <v>0</v>
      </c>
      <c r="Q54" s="542">
        <v>2</v>
      </c>
      <c r="R54" s="542">
        <v>0</v>
      </c>
      <c r="S54" s="482">
        <f t="shared" ref="S54:S55" si="53">+N54+O54+P54+Q54+R54</f>
        <v>2</v>
      </c>
      <c r="T54" s="551">
        <f t="shared" ref="T54:T56" si="54">+S54+M54</f>
        <v>2</v>
      </c>
      <c r="U54" s="483"/>
      <c r="V54" s="486">
        <f t="shared" si="38"/>
        <v>1</v>
      </c>
      <c r="W54" s="483"/>
      <c r="X54" s="486">
        <f t="shared" si="39"/>
        <v>0.25</v>
      </c>
      <c r="Y54" s="560"/>
      <c r="Z54" s="561">
        <f t="shared" si="40"/>
        <v>0.5</v>
      </c>
      <c r="AA54" s="503">
        <v>0</v>
      </c>
      <c r="AB54" s="504">
        <f t="shared" si="51"/>
        <v>0.125</v>
      </c>
      <c r="AC54" s="208" t="s">
        <v>1850</v>
      </c>
      <c r="AD54" s="661" t="s">
        <v>1920</v>
      </c>
      <c r="AE54" s="759" t="s">
        <v>2272</v>
      </c>
      <c r="AF54" s="759" t="s">
        <v>2294</v>
      </c>
      <c r="AG54" s="759" t="s">
        <v>2411</v>
      </c>
      <c r="AH54" s="759" t="s">
        <v>2445</v>
      </c>
      <c r="AI54" s="759" t="s">
        <v>2558</v>
      </c>
      <c r="AJ54" s="180"/>
    </row>
    <row r="55" spans="1:36" ht="138" customHeight="1" thickBot="1" x14ac:dyDescent="0.4">
      <c r="A55" s="301"/>
      <c r="B55" s="1195" t="s">
        <v>93</v>
      </c>
      <c r="C55" s="1195" t="s">
        <v>94</v>
      </c>
      <c r="D55" s="452" t="s">
        <v>12</v>
      </c>
      <c r="E55" s="352">
        <v>0.25</v>
      </c>
      <c r="F55" s="480">
        <v>2500</v>
      </c>
      <c r="G55" s="481">
        <v>625</v>
      </c>
      <c r="H55" s="492">
        <v>565</v>
      </c>
      <c r="I55" s="496">
        <f>+G55/F55</f>
        <v>0.25</v>
      </c>
      <c r="J55" s="486">
        <f t="shared" si="52"/>
        <v>0.22600000000000001</v>
      </c>
      <c r="K55" s="486">
        <f>+(G55/F55)*E55</f>
        <v>6.25E-2</v>
      </c>
      <c r="L55" s="486">
        <f t="shared" si="30"/>
        <v>5.6500000000000002E-2</v>
      </c>
      <c r="M55" s="482">
        <v>685</v>
      </c>
      <c r="N55" s="546">
        <v>200</v>
      </c>
      <c r="O55" s="542">
        <v>544</v>
      </c>
      <c r="P55" s="542">
        <v>396</v>
      </c>
      <c r="Q55" s="542">
        <v>0</v>
      </c>
      <c r="R55" s="542">
        <v>0</v>
      </c>
      <c r="S55" s="482">
        <f t="shared" si="53"/>
        <v>1140</v>
      </c>
      <c r="T55" s="551">
        <f t="shared" si="54"/>
        <v>1825</v>
      </c>
      <c r="U55" s="483">
        <v>1</v>
      </c>
      <c r="V55" s="486">
        <v>1</v>
      </c>
      <c r="W55" s="483">
        <f>+U55*E55</f>
        <v>0.25</v>
      </c>
      <c r="X55" s="486">
        <f t="shared" si="39"/>
        <v>0.25</v>
      </c>
      <c r="Y55" s="560">
        <f>+M55/F55</f>
        <v>0.27400000000000002</v>
      </c>
      <c r="Z55" s="561">
        <f t="shared" si="40"/>
        <v>0.73</v>
      </c>
      <c r="AA55" s="503">
        <f>+Y55*E55</f>
        <v>6.8500000000000005E-2</v>
      </c>
      <c r="AB55" s="504">
        <f>+Z55*E55</f>
        <v>0.1825</v>
      </c>
      <c r="AC55" s="208" t="s">
        <v>1850</v>
      </c>
      <c r="AD55" s="642" t="s">
        <v>1893</v>
      </c>
      <c r="AE55" s="759" t="s">
        <v>2272</v>
      </c>
      <c r="AF55" s="759" t="s">
        <v>2294</v>
      </c>
      <c r="AG55" s="759" t="s">
        <v>2411</v>
      </c>
      <c r="AH55" s="759" t="s">
        <v>2445</v>
      </c>
      <c r="AI55" s="759" t="s">
        <v>2558</v>
      </c>
      <c r="AJ55" s="180"/>
    </row>
    <row r="56" spans="1:36" ht="138" customHeight="1" thickBot="1" x14ac:dyDescent="0.4">
      <c r="A56" s="301"/>
      <c r="B56" s="1195" t="s">
        <v>95</v>
      </c>
      <c r="C56" s="1195" t="s">
        <v>96</v>
      </c>
      <c r="D56" s="452" t="s">
        <v>12</v>
      </c>
      <c r="E56" s="352">
        <v>0.25</v>
      </c>
      <c r="F56" s="480">
        <v>4</v>
      </c>
      <c r="G56" s="481">
        <v>1</v>
      </c>
      <c r="H56" s="492">
        <v>1</v>
      </c>
      <c r="I56" s="496">
        <f>+G56/F56</f>
        <v>0.25</v>
      </c>
      <c r="J56" s="486">
        <f t="shared" si="52"/>
        <v>0.25</v>
      </c>
      <c r="K56" s="486">
        <f>+(G56/F56)*E56</f>
        <v>6.25E-2</v>
      </c>
      <c r="L56" s="486">
        <f t="shared" si="30"/>
        <v>6.25E-2</v>
      </c>
      <c r="M56" s="482">
        <v>1</v>
      </c>
      <c r="N56" s="546">
        <v>0</v>
      </c>
      <c r="O56" s="542">
        <v>0</v>
      </c>
      <c r="P56" s="542">
        <v>0</v>
      </c>
      <c r="Q56" s="542">
        <v>0</v>
      </c>
      <c r="R56" s="542">
        <v>0</v>
      </c>
      <c r="S56" s="482">
        <f>+N56+O56+P56+Q56+R56</f>
        <v>0</v>
      </c>
      <c r="T56" s="551">
        <f t="shared" si="54"/>
        <v>1</v>
      </c>
      <c r="U56" s="483">
        <f>+(M56/G56)</f>
        <v>1</v>
      </c>
      <c r="V56" s="486">
        <f t="shared" si="38"/>
        <v>0</v>
      </c>
      <c r="W56" s="483">
        <f>+U56*E56</f>
        <v>0.25</v>
      </c>
      <c r="X56" s="486">
        <f t="shared" si="39"/>
        <v>0</v>
      </c>
      <c r="Y56" s="560">
        <f>+M56/F56</f>
        <v>0.25</v>
      </c>
      <c r="Z56" s="562">
        <f t="shared" si="40"/>
        <v>0.25</v>
      </c>
      <c r="AA56" s="503">
        <f>+Y56*E56</f>
        <v>6.25E-2</v>
      </c>
      <c r="AB56" s="504">
        <f>+Z56*E56</f>
        <v>6.25E-2</v>
      </c>
      <c r="AC56" s="208" t="s">
        <v>1850</v>
      </c>
      <c r="AD56" s="642" t="s">
        <v>1893</v>
      </c>
      <c r="AE56" s="759" t="s">
        <v>2272</v>
      </c>
      <c r="AF56" s="759" t="s">
        <v>2294</v>
      </c>
      <c r="AG56" s="759" t="s">
        <v>2411</v>
      </c>
      <c r="AH56" s="759" t="s">
        <v>2445</v>
      </c>
      <c r="AI56" s="759" t="s">
        <v>2558</v>
      </c>
      <c r="AJ56" s="180"/>
    </row>
    <row r="57" spans="1:36" ht="72" customHeight="1" thickBot="1" x14ac:dyDescent="0.45">
      <c r="A57" s="301"/>
      <c r="B57" s="1300" t="s">
        <v>1603</v>
      </c>
      <c r="C57" s="1299"/>
      <c r="D57" s="452"/>
      <c r="E57" s="476">
        <v>0.1</v>
      </c>
      <c r="F57" s="479"/>
      <c r="G57" s="512"/>
      <c r="H57" s="513"/>
      <c r="I57" s="498">
        <f>+AVERAGE(I58:I76)</f>
        <v>0.25</v>
      </c>
      <c r="J57" s="478">
        <f>+AVERAGE(J58:J76)</f>
        <v>0.29290000000000005</v>
      </c>
      <c r="K57" s="514">
        <f>+K58+K59+K60+K61+K62+K63+K64+K65+K66+K67+K68+K69+K70+K71+K72+K73+K74+K75+K76</f>
        <v>0.14500000000000005</v>
      </c>
      <c r="L57" s="514">
        <f>+L58+L59+L60+L61+L62+L63+L64+L65+L66+L67+L68+L69+L70+L71+L72+L73+L74+L75+L76</f>
        <v>0.14290000000000003</v>
      </c>
      <c r="M57" s="485"/>
      <c r="N57" s="485"/>
      <c r="O57" s="485"/>
      <c r="P57" s="485"/>
      <c r="Q57" s="485"/>
      <c r="R57" s="1200"/>
      <c r="S57" s="485"/>
      <c r="T57" s="345"/>
      <c r="U57" s="544">
        <f>+AVERAGE(U58:U76)</f>
        <v>0.9349090909090908</v>
      </c>
      <c r="V57" s="544">
        <f>+AVERAGE(V58:V76)</f>
        <v>0.95048135198135209</v>
      </c>
      <c r="W57" s="544">
        <f>+(W58+W59+W60+W61+W62+W63+W64+W65+W66+W67+W68+W69+W70+W71+W72+W73+W74+W75+W76)*E57</f>
        <v>5.0840000000000024E-2</v>
      </c>
      <c r="X57" s="544">
        <f>+(X58+X59+X60+X61+X62+X63+X64+X65+X66+X67+X68+X69+X70+X71+X72+X73+X74+X76)*E57</f>
        <v>4.3178135198135202E-2</v>
      </c>
      <c r="Y57" s="499">
        <f>+AVERAGE(Y58:Y76)</f>
        <v>0.2337272727272727</v>
      </c>
      <c r="Z57" s="564">
        <f>+AVERAGE(Z58:Z76)</f>
        <v>0.28501315789473686</v>
      </c>
      <c r="AA57" s="499">
        <f>+(AA58+AA59+AA60+AA61+AA62+AA63+AA64+AA65+AA66+AA67+AA68+AA69+AA70+AA71+AA72+AA73+AA74+AA75+AA76)*E57</f>
        <v>1.2710000000000006E-2</v>
      </c>
      <c r="AB57" s="556">
        <f>+(AB58+AB59+AB60+AB61+AB62+AB63+AB64+AB65+AB66+AB67+AB68+AB69+AB70+AB71+AB72+AB73+AB74+AB75+AB76)</f>
        <v>0.26117500000000005</v>
      </c>
      <c r="AC57" s="201"/>
      <c r="AD57" s="450"/>
      <c r="AE57" s="450"/>
      <c r="AF57" s="450"/>
      <c r="AG57" s="450"/>
      <c r="AH57" s="450"/>
      <c r="AI57" s="225"/>
      <c r="AJ57" s="180"/>
    </row>
    <row r="58" spans="1:36" ht="132.6" customHeight="1" thickBot="1" x14ac:dyDescent="0.4">
      <c r="A58" s="301"/>
      <c r="B58" s="1195" t="s">
        <v>97</v>
      </c>
      <c r="C58" s="1195" t="s">
        <v>98</v>
      </c>
      <c r="D58" s="452" t="s">
        <v>12</v>
      </c>
      <c r="E58" s="515">
        <v>0.1</v>
      </c>
      <c r="F58" s="480">
        <v>1000</v>
      </c>
      <c r="G58" s="481">
        <v>0</v>
      </c>
      <c r="H58" s="492">
        <v>0</v>
      </c>
      <c r="I58" s="496"/>
      <c r="J58" s="486"/>
      <c r="K58" s="486"/>
      <c r="L58" s="486"/>
      <c r="M58" s="482"/>
      <c r="N58" s="546"/>
      <c r="O58" s="542"/>
      <c r="P58" s="542"/>
      <c r="Q58" s="542"/>
      <c r="R58" s="542"/>
      <c r="S58" s="482"/>
      <c r="T58" s="551"/>
      <c r="U58" s="483"/>
      <c r="V58" s="520"/>
      <c r="W58" s="535"/>
      <c r="X58" s="520">
        <f t="shared" si="39"/>
        <v>0</v>
      </c>
      <c r="Y58" s="560"/>
      <c r="Z58" s="567">
        <v>0</v>
      </c>
      <c r="AA58" s="503">
        <v>0</v>
      </c>
      <c r="AB58" s="504">
        <v>0</v>
      </c>
      <c r="AC58" s="208" t="s">
        <v>1850</v>
      </c>
      <c r="AD58" s="642" t="s">
        <v>1893</v>
      </c>
      <c r="AE58" s="759" t="s">
        <v>2272</v>
      </c>
      <c r="AF58" s="759" t="s">
        <v>2294</v>
      </c>
      <c r="AG58" s="759" t="s">
        <v>2411</v>
      </c>
      <c r="AH58" s="759" t="s">
        <v>2445</v>
      </c>
      <c r="AI58" s="759" t="s">
        <v>2558</v>
      </c>
      <c r="AJ58" s="180"/>
    </row>
    <row r="59" spans="1:36" ht="132.6" customHeight="1" thickBot="1" x14ac:dyDescent="0.4">
      <c r="A59" s="301"/>
      <c r="B59" s="1195" t="s">
        <v>99</v>
      </c>
      <c r="C59" s="1195" t="s">
        <v>100</v>
      </c>
      <c r="D59" s="452" t="s">
        <v>12</v>
      </c>
      <c r="E59" s="515">
        <v>0.1</v>
      </c>
      <c r="F59" s="480">
        <v>1000</v>
      </c>
      <c r="G59" s="481">
        <v>250</v>
      </c>
      <c r="H59" s="492">
        <v>429</v>
      </c>
      <c r="I59" s="496">
        <f t="shared" ref="I59:I73" si="55">+G59/F59</f>
        <v>0.25</v>
      </c>
      <c r="J59" s="486">
        <f t="shared" si="52"/>
        <v>0.42899999999999999</v>
      </c>
      <c r="K59" s="486">
        <f t="shared" ref="K59:K73" si="56">+(G59/F59)*E59</f>
        <v>2.5000000000000001E-2</v>
      </c>
      <c r="L59" s="486">
        <f t="shared" si="30"/>
        <v>4.2900000000000001E-2</v>
      </c>
      <c r="M59" s="482">
        <v>71</v>
      </c>
      <c r="N59" s="546">
        <v>50</v>
      </c>
      <c r="O59" s="542">
        <v>101</v>
      </c>
      <c r="P59" s="542">
        <v>72</v>
      </c>
      <c r="Q59" s="542">
        <v>0</v>
      </c>
      <c r="R59" s="545">
        <v>0</v>
      </c>
      <c r="S59" s="482">
        <f>+N59+O59+P59+Q59+R59</f>
        <v>223</v>
      </c>
      <c r="T59" s="551">
        <f t="shared" ref="T59:T65" si="57">+S59+M59</f>
        <v>294</v>
      </c>
      <c r="U59" s="483">
        <f t="shared" ref="U59:U73" si="58">+(M59/G59)</f>
        <v>0.28399999999999997</v>
      </c>
      <c r="V59" s="520">
        <f t="shared" si="38"/>
        <v>0.51981351981351986</v>
      </c>
      <c r="W59" s="535">
        <f>+U59*E59</f>
        <v>2.8399999999999998E-2</v>
      </c>
      <c r="X59" s="520">
        <f t="shared" si="39"/>
        <v>5.1981351981351988E-2</v>
      </c>
      <c r="Y59" s="560">
        <f t="shared" ref="Y59:Y73" si="59">+M59/F59</f>
        <v>7.0999999999999994E-2</v>
      </c>
      <c r="Z59" s="561">
        <f t="shared" si="40"/>
        <v>0.29399999999999998</v>
      </c>
      <c r="AA59" s="503">
        <f>+Y59*E59</f>
        <v>7.0999999999999995E-3</v>
      </c>
      <c r="AB59" s="504"/>
      <c r="AC59" s="208" t="s">
        <v>1850</v>
      </c>
      <c r="AD59" s="642" t="s">
        <v>1893</v>
      </c>
      <c r="AE59" s="759" t="s">
        <v>2272</v>
      </c>
      <c r="AF59" s="759" t="s">
        <v>2294</v>
      </c>
      <c r="AG59" s="759" t="s">
        <v>2411</v>
      </c>
      <c r="AH59" s="759" t="s">
        <v>2445</v>
      </c>
      <c r="AI59" s="759" t="s">
        <v>2558</v>
      </c>
      <c r="AJ59" s="180"/>
    </row>
    <row r="60" spans="1:36" ht="132.6" customHeight="1" thickBot="1" x14ac:dyDescent="0.4">
      <c r="A60" s="301"/>
      <c r="B60" s="1204" t="s">
        <v>101</v>
      </c>
      <c r="C60" s="1204" t="s">
        <v>102</v>
      </c>
      <c r="D60" s="452" t="s">
        <v>12</v>
      </c>
      <c r="E60" s="515">
        <v>0.1</v>
      </c>
      <c r="F60" s="516">
        <v>1</v>
      </c>
      <c r="G60" s="517">
        <f>0.0625*4</f>
        <v>0.25</v>
      </c>
      <c r="H60" s="518">
        <v>0.25</v>
      </c>
      <c r="I60" s="496">
        <f t="shared" si="55"/>
        <v>0.25</v>
      </c>
      <c r="J60" s="486">
        <f t="shared" si="52"/>
        <v>0.25</v>
      </c>
      <c r="K60" s="486">
        <f t="shared" si="56"/>
        <v>2.5000000000000001E-2</v>
      </c>
      <c r="L60" s="486">
        <f t="shared" si="30"/>
        <v>2.5000000000000001E-2</v>
      </c>
      <c r="M60" s="519">
        <v>0.25</v>
      </c>
      <c r="N60" s="546">
        <v>6.25E-2</v>
      </c>
      <c r="O60" s="546">
        <v>6.25E-2</v>
      </c>
      <c r="P60" s="546">
        <v>6.25E-2</v>
      </c>
      <c r="Q60" s="546">
        <v>3.125E-2</v>
      </c>
      <c r="R60" s="546">
        <v>3.125E-2</v>
      </c>
      <c r="S60" s="482">
        <f t="shared" ref="S60:S76" si="60">+N60+O60+P60+Q60+R60</f>
        <v>0.25</v>
      </c>
      <c r="T60" s="551">
        <f t="shared" si="57"/>
        <v>0.5</v>
      </c>
      <c r="U60" s="483">
        <f t="shared" si="58"/>
        <v>1</v>
      </c>
      <c r="V60" s="520">
        <f t="shared" si="38"/>
        <v>1</v>
      </c>
      <c r="W60" s="535">
        <f>+U60*E60</f>
        <v>0.1</v>
      </c>
      <c r="X60" s="520">
        <f t="shared" si="39"/>
        <v>0.1</v>
      </c>
      <c r="Y60" s="560">
        <f t="shared" si="59"/>
        <v>0.25</v>
      </c>
      <c r="Z60" s="561">
        <f t="shared" si="40"/>
        <v>0.5</v>
      </c>
      <c r="AA60" s="560">
        <f>+Y60*E60</f>
        <v>2.5000000000000001E-2</v>
      </c>
      <c r="AB60" s="561">
        <f>+Z60*E60</f>
        <v>0.05</v>
      </c>
      <c r="AC60" s="208" t="s">
        <v>1850</v>
      </c>
      <c r="AD60" s="642" t="s">
        <v>1893</v>
      </c>
      <c r="AE60" s="759" t="s">
        <v>2272</v>
      </c>
      <c r="AF60" s="759" t="s">
        <v>2294</v>
      </c>
      <c r="AG60" s="759" t="s">
        <v>2411</v>
      </c>
      <c r="AH60" s="759" t="s">
        <v>2445</v>
      </c>
      <c r="AI60" s="759" t="s">
        <v>2558</v>
      </c>
      <c r="AJ60" s="180"/>
    </row>
    <row r="61" spans="1:36" ht="132.6" customHeight="1" thickBot="1" x14ac:dyDescent="0.4">
      <c r="A61" s="301"/>
      <c r="B61" s="1204" t="s">
        <v>103</v>
      </c>
      <c r="C61" s="1204" t="s">
        <v>104</v>
      </c>
      <c r="D61" s="452" t="s">
        <v>12</v>
      </c>
      <c r="E61" s="515">
        <v>0.1</v>
      </c>
      <c r="F61" s="516">
        <v>1</v>
      </c>
      <c r="G61" s="517">
        <f>0.0625*4</f>
        <v>0.25</v>
      </c>
      <c r="H61" s="518">
        <v>0.25</v>
      </c>
      <c r="I61" s="496">
        <f t="shared" si="55"/>
        <v>0.25</v>
      </c>
      <c r="J61" s="486">
        <f t="shared" si="52"/>
        <v>0.25</v>
      </c>
      <c r="K61" s="486">
        <f t="shared" si="56"/>
        <v>2.5000000000000001E-2</v>
      </c>
      <c r="L61" s="486">
        <f t="shared" si="30"/>
        <v>2.5000000000000001E-2</v>
      </c>
      <c r="M61" s="519">
        <v>0.25</v>
      </c>
      <c r="N61" s="546">
        <v>0</v>
      </c>
      <c r="O61" s="949">
        <f>0.0625*2</f>
        <v>0.125</v>
      </c>
      <c r="P61" s="949">
        <v>6.25E-2</v>
      </c>
      <c r="Q61" s="546">
        <v>3.125E-2</v>
      </c>
      <c r="R61" s="546">
        <v>3.125E-2</v>
      </c>
      <c r="S61" s="482">
        <f t="shared" si="60"/>
        <v>0.25</v>
      </c>
      <c r="T61" s="551">
        <f t="shared" si="57"/>
        <v>0.5</v>
      </c>
      <c r="U61" s="483">
        <f t="shared" si="58"/>
        <v>1</v>
      </c>
      <c r="V61" s="520">
        <f t="shared" si="38"/>
        <v>1</v>
      </c>
      <c r="W61" s="535">
        <f>+U61*E61</f>
        <v>0.1</v>
      </c>
      <c r="X61" s="520">
        <f t="shared" si="39"/>
        <v>0.1</v>
      </c>
      <c r="Y61" s="560">
        <f t="shared" si="59"/>
        <v>0.25</v>
      </c>
      <c r="Z61" s="561">
        <f t="shared" si="40"/>
        <v>0.5</v>
      </c>
      <c r="AA61" s="560">
        <f>+Y61*E61</f>
        <v>2.5000000000000001E-2</v>
      </c>
      <c r="AB61" s="561">
        <f>+Z61*E61</f>
        <v>0.05</v>
      </c>
      <c r="AC61" s="208" t="s">
        <v>1850</v>
      </c>
      <c r="AD61" s="642" t="s">
        <v>1893</v>
      </c>
      <c r="AE61" s="759" t="s">
        <v>2272</v>
      </c>
      <c r="AF61" s="759" t="s">
        <v>2294</v>
      </c>
      <c r="AG61" s="759" t="s">
        <v>2411</v>
      </c>
      <c r="AH61" s="759" t="s">
        <v>2445</v>
      </c>
      <c r="AI61" s="759" t="s">
        <v>2558</v>
      </c>
      <c r="AJ61" s="180"/>
    </row>
    <row r="62" spans="1:36" ht="132.6" customHeight="1" thickBot="1" x14ac:dyDescent="0.4">
      <c r="A62" s="301"/>
      <c r="B62" s="1204" t="s">
        <v>105</v>
      </c>
      <c r="C62" s="1204" t="s">
        <v>106</v>
      </c>
      <c r="D62" s="452" t="s">
        <v>12</v>
      </c>
      <c r="E62" s="515">
        <v>0.05</v>
      </c>
      <c r="F62" s="480">
        <f>22*4</f>
        <v>88</v>
      </c>
      <c r="G62" s="481">
        <v>22</v>
      </c>
      <c r="H62" s="492">
        <v>22</v>
      </c>
      <c r="I62" s="496">
        <f t="shared" si="55"/>
        <v>0.25</v>
      </c>
      <c r="J62" s="486">
        <f t="shared" si="52"/>
        <v>0.25</v>
      </c>
      <c r="K62" s="520">
        <f>+(G62/F62)*E62</f>
        <v>1.2500000000000001E-2</v>
      </c>
      <c r="L62" s="486">
        <f t="shared" si="30"/>
        <v>1.2500000000000001E-2</v>
      </c>
      <c r="M62" s="482">
        <v>22</v>
      </c>
      <c r="N62" s="546">
        <v>0</v>
      </c>
      <c r="O62" s="542">
        <v>0</v>
      </c>
      <c r="P62" s="542">
        <v>22</v>
      </c>
      <c r="Q62" s="542">
        <v>0</v>
      </c>
      <c r="R62" s="1048">
        <v>0</v>
      </c>
      <c r="S62" s="482">
        <f t="shared" si="60"/>
        <v>22</v>
      </c>
      <c r="T62" s="551">
        <f t="shared" si="57"/>
        <v>44</v>
      </c>
      <c r="U62" s="483">
        <f t="shared" si="58"/>
        <v>1</v>
      </c>
      <c r="V62" s="520">
        <f t="shared" si="38"/>
        <v>1</v>
      </c>
      <c r="W62" s="535">
        <f>+U62*E62</f>
        <v>0.05</v>
      </c>
      <c r="X62" s="520">
        <f t="shared" si="39"/>
        <v>0.05</v>
      </c>
      <c r="Y62" s="560">
        <f t="shared" si="59"/>
        <v>0.25</v>
      </c>
      <c r="Z62" s="561">
        <f t="shared" si="40"/>
        <v>0.5</v>
      </c>
      <c r="AA62" s="503">
        <f>+Y62*E62</f>
        <v>1.2500000000000001E-2</v>
      </c>
      <c r="AB62" s="504">
        <f>+Z62*E62</f>
        <v>2.5000000000000001E-2</v>
      </c>
      <c r="AC62" s="208" t="s">
        <v>1850</v>
      </c>
      <c r="AD62" s="642" t="s">
        <v>1893</v>
      </c>
      <c r="AE62" s="759" t="s">
        <v>2272</v>
      </c>
      <c r="AF62" s="759" t="s">
        <v>2294</v>
      </c>
      <c r="AG62" s="759" t="s">
        <v>2411</v>
      </c>
      <c r="AH62" s="759" t="s">
        <v>2445</v>
      </c>
      <c r="AI62" s="759" t="s">
        <v>2558</v>
      </c>
      <c r="AJ62" s="180"/>
    </row>
    <row r="63" spans="1:36" ht="132.6" customHeight="1" thickBot="1" x14ac:dyDescent="0.4">
      <c r="A63" s="301"/>
      <c r="B63" s="1195" t="s">
        <v>107</v>
      </c>
      <c r="C63" s="1195" t="s">
        <v>108</v>
      </c>
      <c r="D63" s="452" t="s">
        <v>12</v>
      </c>
      <c r="E63" s="515">
        <v>0.02</v>
      </c>
      <c r="F63" s="480">
        <v>1</v>
      </c>
      <c r="G63" s="481">
        <v>0</v>
      </c>
      <c r="H63" s="492">
        <v>0</v>
      </c>
      <c r="I63" s="496"/>
      <c r="J63" s="486"/>
      <c r="K63" s="486"/>
      <c r="L63" s="486"/>
      <c r="M63" s="482"/>
      <c r="N63" s="546"/>
      <c r="O63" s="542"/>
      <c r="P63" s="542"/>
      <c r="Q63" s="542"/>
      <c r="R63" s="542"/>
      <c r="S63" s="482">
        <f t="shared" si="60"/>
        <v>0</v>
      </c>
      <c r="T63" s="551">
        <f t="shared" si="57"/>
        <v>0</v>
      </c>
      <c r="U63" s="483"/>
      <c r="V63" s="520"/>
      <c r="W63" s="535"/>
      <c r="X63" s="520"/>
      <c r="Y63" s="560"/>
      <c r="Z63" s="561">
        <v>0</v>
      </c>
      <c r="AA63" s="503">
        <v>0</v>
      </c>
      <c r="AB63" s="504">
        <f>+Z63*E63</f>
        <v>0</v>
      </c>
      <c r="AC63" s="208" t="s">
        <v>1850</v>
      </c>
      <c r="AD63" s="642" t="s">
        <v>1893</v>
      </c>
      <c r="AE63" s="759" t="s">
        <v>2272</v>
      </c>
      <c r="AF63" s="759" t="s">
        <v>2294</v>
      </c>
      <c r="AG63" s="759" t="s">
        <v>2411</v>
      </c>
      <c r="AH63" s="759" t="s">
        <v>2445</v>
      </c>
      <c r="AI63" s="759" t="s">
        <v>2558</v>
      </c>
      <c r="AJ63" s="180"/>
    </row>
    <row r="64" spans="1:36" ht="132.6" customHeight="1" thickBot="1" x14ac:dyDescent="0.4">
      <c r="A64" s="301"/>
      <c r="B64" s="1195" t="s">
        <v>109</v>
      </c>
      <c r="C64" s="1195" t="s">
        <v>110</v>
      </c>
      <c r="D64" s="452" t="s">
        <v>12</v>
      </c>
      <c r="E64" s="515">
        <v>0.02</v>
      </c>
      <c r="F64" s="480">
        <v>1</v>
      </c>
      <c r="G64" s="481">
        <v>0</v>
      </c>
      <c r="H64" s="492">
        <v>0</v>
      </c>
      <c r="I64" s="496"/>
      <c r="J64" s="486"/>
      <c r="K64" s="486"/>
      <c r="L64" s="486"/>
      <c r="M64" s="482"/>
      <c r="N64" s="546"/>
      <c r="O64" s="542"/>
      <c r="P64" s="542"/>
      <c r="Q64" s="542"/>
      <c r="R64" s="545"/>
      <c r="S64" s="482">
        <f t="shared" si="60"/>
        <v>0</v>
      </c>
      <c r="T64" s="551">
        <f t="shared" si="57"/>
        <v>0</v>
      </c>
      <c r="U64" s="483"/>
      <c r="V64" s="486"/>
      <c r="W64" s="483"/>
      <c r="X64" s="486"/>
      <c r="Y64" s="503"/>
      <c r="Z64" s="504">
        <v>0</v>
      </c>
      <c r="AA64" s="503">
        <v>0</v>
      </c>
      <c r="AB64" s="504">
        <f t="shared" ref="AB64:AB66" si="61">+Z64*E64</f>
        <v>0</v>
      </c>
      <c r="AC64" s="208" t="s">
        <v>1850</v>
      </c>
      <c r="AD64" s="642" t="s">
        <v>1893</v>
      </c>
      <c r="AE64" s="759" t="s">
        <v>2272</v>
      </c>
      <c r="AF64" s="759" t="s">
        <v>2294</v>
      </c>
      <c r="AG64" s="759" t="s">
        <v>2411</v>
      </c>
      <c r="AH64" s="759" t="s">
        <v>2445</v>
      </c>
      <c r="AI64" s="759" t="s">
        <v>2558</v>
      </c>
      <c r="AJ64" s="180"/>
    </row>
    <row r="65" spans="1:36" ht="132.6" customHeight="1" thickBot="1" x14ac:dyDescent="0.4">
      <c r="A65" s="301"/>
      <c r="B65" s="1195" t="s">
        <v>111</v>
      </c>
      <c r="C65" s="1195" t="s">
        <v>112</v>
      </c>
      <c r="D65" s="452" t="s">
        <v>12</v>
      </c>
      <c r="E65" s="515">
        <v>0.05</v>
      </c>
      <c r="F65" s="480">
        <v>1</v>
      </c>
      <c r="G65" s="481">
        <v>0</v>
      </c>
      <c r="H65" s="492">
        <v>0</v>
      </c>
      <c r="I65" s="521"/>
      <c r="J65" s="486"/>
      <c r="K65" s="522"/>
      <c r="L65" s="486"/>
      <c r="M65" s="523"/>
      <c r="N65" s="546"/>
      <c r="O65" s="950"/>
      <c r="P65" s="950"/>
      <c r="Q65" s="1163"/>
      <c r="R65" s="546"/>
      <c r="S65" s="482">
        <f t="shared" si="60"/>
        <v>0</v>
      </c>
      <c r="T65" s="551">
        <f t="shared" si="57"/>
        <v>0</v>
      </c>
      <c r="U65" s="483"/>
      <c r="V65" s="486"/>
      <c r="W65" s="483"/>
      <c r="X65" s="486"/>
      <c r="Y65" s="503"/>
      <c r="Z65" s="504">
        <v>0</v>
      </c>
      <c r="AA65" s="503">
        <v>0</v>
      </c>
      <c r="AB65" s="504">
        <f t="shared" si="61"/>
        <v>0</v>
      </c>
      <c r="AC65" s="208" t="s">
        <v>1850</v>
      </c>
      <c r="AD65" s="642" t="s">
        <v>1893</v>
      </c>
      <c r="AE65" s="759" t="s">
        <v>2272</v>
      </c>
      <c r="AF65" s="759" t="s">
        <v>2294</v>
      </c>
      <c r="AG65" s="759" t="s">
        <v>2411</v>
      </c>
      <c r="AH65" s="759" t="s">
        <v>2445</v>
      </c>
      <c r="AI65" s="759" t="s">
        <v>2558</v>
      </c>
      <c r="AJ65" s="180"/>
    </row>
    <row r="66" spans="1:36" ht="132.6" customHeight="1" thickBot="1" x14ac:dyDescent="0.4">
      <c r="A66" s="301"/>
      <c r="B66" s="1195" t="s">
        <v>113</v>
      </c>
      <c r="C66" s="1195" t="s">
        <v>114</v>
      </c>
      <c r="D66" s="452" t="s">
        <v>12</v>
      </c>
      <c r="E66" s="515">
        <v>0.02</v>
      </c>
      <c r="F66" s="480">
        <v>4</v>
      </c>
      <c r="G66" s="481">
        <v>1</v>
      </c>
      <c r="H66" s="482">
        <v>1</v>
      </c>
      <c r="I66" s="524">
        <f t="shared" si="55"/>
        <v>0.25</v>
      </c>
      <c r="J66" s="486">
        <v>0.25</v>
      </c>
      <c r="K66" s="524">
        <f t="shared" si="56"/>
        <v>5.0000000000000001E-3</v>
      </c>
      <c r="L66" s="486"/>
      <c r="M66" s="525">
        <v>1</v>
      </c>
      <c r="N66" s="546">
        <v>0</v>
      </c>
      <c r="O66" s="950">
        <v>0.5</v>
      </c>
      <c r="P66" s="1048">
        <v>0.25</v>
      </c>
      <c r="Q66" s="1164">
        <v>0.1225</v>
      </c>
      <c r="R66" s="546">
        <v>0.1225</v>
      </c>
      <c r="S66" s="482">
        <f t="shared" si="60"/>
        <v>0.99500000000000011</v>
      </c>
      <c r="T66" s="551">
        <f t="shared" ref="T66:T76" si="62">+S66+M66</f>
        <v>1.9950000000000001</v>
      </c>
      <c r="U66" s="535">
        <f>+(M66/G66)</f>
        <v>1</v>
      </c>
      <c r="V66" s="520">
        <f t="shared" si="38"/>
        <v>0.99500000000000011</v>
      </c>
      <c r="W66" s="535">
        <f t="shared" ref="W66:W71" si="63">+U66*E66</f>
        <v>0.02</v>
      </c>
      <c r="X66" s="520"/>
      <c r="Y66" s="560">
        <f>+M66/F66</f>
        <v>0.25</v>
      </c>
      <c r="Z66" s="561">
        <f t="shared" si="40"/>
        <v>0.49875000000000003</v>
      </c>
      <c r="AA66" s="503">
        <f t="shared" ref="AA66:AA71" si="64">+Y66*E66</f>
        <v>5.0000000000000001E-3</v>
      </c>
      <c r="AB66" s="504">
        <f t="shared" si="61"/>
        <v>9.9750000000000012E-3</v>
      </c>
      <c r="AC66" s="208" t="s">
        <v>1850</v>
      </c>
      <c r="AD66" s="642" t="s">
        <v>1893</v>
      </c>
      <c r="AE66" s="759" t="s">
        <v>2272</v>
      </c>
      <c r="AF66" s="759" t="s">
        <v>2294</v>
      </c>
      <c r="AG66" s="654" t="s">
        <v>1865</v>
      </c>
      <c r="AH66" s="654" t="s">
        <v>1865</v>
      </c>
      <c r="AI66" s="759" t="s">
        <v>2558</v>
      </c>
      <c r="AJ66" s="180"/>
    </row>
    <row r="67" spans="1:36" ht="132.6" customHeight="1" thickBot="1" x14ac:dyDescent="0.4">
      <c r="A67" s="301"/>
      <c r="B67" s="1195" t="s">
        <v>115</v>
      </c>
      <c r="C67" s="1195" t="s">
        <v>116</v>
      </c>
      <c r="D67" s="452" t="s">
        <v>12</v>
      </c>
      <c r="E67" s="515">
        <v>0.02</v>
      </c>
      <c r="F67" s="480">
        <v>4</v>
      </c>
      <c r="G67" s="481">
        <v>1</v>
      </c>
      <c r="H67" s="482">
        <v>1</v>
      </c>
      <c r="I67" s="483">
        <f t="shared" si="55"/>
        <v>0.25</v>
      </c>
      <c r="J67" s="486">
        <f t="shared" si="52"/>
        <v>0.25</v>
      </c>
      <c r="K67" s="483">
        <f t="shared" si="56"/>
        <v>5.0000000000000001E-3</v>
      </c>
      <c r="L67" s="486">
        <f t="shared" si="30"/>
        <v>5.0000000000000001E-3</v>
      </c>
      <c r="M67" s="481">
        <v>1</v>
      </c>
      <c r="N67" s="546">
        <v>0.25</v>
      </c>
      <c r="O67" s="950">
        <v>0.25</v>
      </c>
      <c r="P67" s="542">
        <v>0.25</v>
      </c>
      <c r="Q67" s="542">
        <v>0.1225</v>
      </c>
      <c r="R67" s="1048">
        <v>0.1225</v>
      </c>
      <c r="S67" s="482">
        <f t="shared" si="60"/>
        <v>0.99500000000000011</v>
      </c>
      <c r="T67" s="551">
        <f t="shared" si="62"/>
        <v>1.9950000000000001</v>
      </c>
      <c r="U67" s="535">
        <f>+(M67/G67)</f>
        <v>1</v>
      </c>
      <c r="V67" s="520">
        <f t="shared" si="38"/>
        <v>0.99500000000000011</v>
      </c>
      <c r="W67" s="535">
        <f t="shared" si="63"/>
        <v>0.02</v>
      </c>
      <c r="X67" s="520">
        <f t="shared" si="39"/>
        <v>1.9900000000000001E-2</v>
      </c>
      <c r="Y67" s="560">
        <f>+M67/F67</f>
        <v>0.25</v>
      </c>
      <c r="Z67" s="561">
        <f t="shared" si="40"/>
        <v>0.49875000000000003</v>
      </c>
      <c r="AA67" s="503">
        <f t="shared" si="64"/>
        <v>5.0000000000000001E-3</v>
      </c>
      <c r="AB67" s="504">
        <f t="shared" ref="AB67:AB71" si="65">+Z67*E67</f>
        <v>9.9750000000000012E-3</v>
      </c>
      <c r="AC67" s="208" t="s">
        <v>1850</v>
      </c>
      <c r="AD67" s="642" t="s">
        <v>1893</v>
      </c>
      <c r="AE67" s="759" t="s">
        <v>2272</v>
      </c>
      <c r="AF67" s="759" t="s">
        <v>2294</v>
      </c>
      <c r="AG67" s="759" t="s">
        <v>2411</v>
      </c>
      <c r="AH67" s="759" t="s">
        <v>2445</v>
      </c>
      <c r="AI67" s="759" t="s">
        <v>2558</v>
      </c>
      <c r="AJ67" s="180"/>
    </row>
    <row r="68" spans="1:36" ht="132.6" customHeight="1" thickBot="1" x14ac:dyDescent="0.4">
      <c r="A68" s="301"/>
      <c r="B68" s="1195" t="s">
        <v>117</v>
      </c>
      <c r="C68" s="1195" t="s">
        <v>118</v>
      </c>
      <c r="D68" s="452" t="s">
        <v>12</v>
      </c>
      <c r="E68" s="515">
        <v>0.02</v>
      </c>
      <c r="F68" s="480">
        <v>4</v>
      </c>
      <c r="G68" s="481">
        <v>1</v>
      </c>
      <c r="H68" s="482">
        <v>1</v>
      </c>
      <c r="I68" s="483">
        <f t="shared" si="55"/>
        <v>0.25</v>
      </c>
      <c r="J68" s="486">
        <f t="shared" si="52"/>
        <v>0.25</v>
      </c>
      <c r="K68" s="483">
        <f t="shared" si="56"/>
        <v>5.0000000000000001E-3</v>
      </c>
      <c r="L68" s="486">
        <f t="shared" si="30"/>
        <v>5.0000000000000001E-3</v>
      </c>
      <c r="M68" s="481">
        <v>1</v>
      </c>
      <c r="N68" s="546">
        <v>0.25</v>
      </c>
      <c r="O68" s="950">
        <v>0.25</v>
      </c>
      <c r="P68" s="542">
        <v>0.25</v>
      </c>
      <c r="Q68" s="542">
        <v>0.1225</v>
      </c>
      <c r="R68" s="542">
        <v>0.1225</v>
      </c>
      <c r="S68" s="482">
        <f t="shared" si="60"/>
        <v>0.99500000000000011</v>
      </c>
      <c r="T68" s="551">
        <f t="shared" si="62"/>
        <v>1.9950000000000001</v>
      </c>
      <c r="U68" s="535">
        <f>+(M68/G68)</f>
        <v>1</v>
      </c>
      <c r="V68" s="520">
        <f t="shared" si="38"/>
        <v>0.99500000000000011</v>
      </c>
      <c r="W68" s="535">
        <f t="shared" si="63"/>
        <v>0.02</v>
      </c>
      <c r="X68" s="520">
        <f t="shared" si="39"/>
        <v>1.9900000000000001E-2</v>
      </c>
      <c r="Y68" s="560">
        <f>+M68/F68</f>
        <v>0.25</v>
      </c>
      <c r="Z68" s="561">
        <f>+T68/F68</f>
        <v>0.49875000000000003</v>
      </c>
      <c r="AA68" s="503">
        <f t="shared" si="64"/>
        <v>5.0000000000000001E-3</v>
      </c>
      <c r="AB68" s="504">
        <f t="shared" si="65"/>
        <v>9.9750000000000012E-3</v>
      </c>
      <c r="AC68" s="208" t="s">
        <v>1850</v>
      </c>
      <c r="AD68" s="642" t="s">
        <v>1893</v>
      </c>
      <c r="AE68" s="759" t="s">
        <v>2272</v>
      </c>
      <c r="AF68" s="759" t="s">
        <v>2294</v>
      </c>
      <c r="AG68" s="759" t="s">
        <v>2411</v>
      </c>
      <c r="AH68" s="759" t="s">
        <v>2445</v>
      </c>
      <c r="AI68" s="759" t="s">
        <v>2558</v>
      </c>
      <c r="AJ68" s="180"/>
    </row>
    <row r="69" spans="1:36" ht="132.6" customHeight="1" thickBot="1" x14ac:dyDescent="0.4">
      <c r="A69" s="301"/>
      <c r="B69" s="1199" t="s">
        <v>119</v>
      </c>
      <c r="C69" s="1199" t="s">
        <v>120</v>
      </c>
      <c r="D69" s="452" t="s">
        <v>12</v>
      </c>
      <c r="E69" s="515">
        <v>0.02</v>
      </c>
      <c r="F69" s="480">
        <v>4</v>
      </c>
      <c r="G69" s="481">
        <v>1</v>
      </c>
      <c r="H69" s="482">
        <v>0</v>
      </c>
      <c r="I69" s="483">
        <f t="shared" si="55"/>
        <v>0.25</v>
      </c>
      <c r="J69" s="486"/>
      <c r="K69" s="483">
        <f t="shared" si="56"/>
        <v>5.0000000000000001E-3</v>
      </c>
      <c r="L69" s="486"/>
      <c r="M69" s="481">
        <v>1</v>
      </c>
      <c r="N69" s="546"/>
      <c r="O69" s="542"/>
      <c r="P69" s="542"/>
      <c r="Q69" s="542"/>
      <c r="R69" s="542"/>
      <c r="S69" s="482">
        <f t="shared" si="60"/>
        <v>0</v>
      </c>
      <c r="T69" s="551">
        <f t="shared" si="62"/>
        <v>1</v>
      </c>
      <c r="U69" s="535">
        <f t="shared" si="58"/>
        <v>1</v>
      </c>
      <c r="V69" s="520"/>
      <c r="W69" s="535">
        <f t="shared" si="63"/>
        <v>0.02</v>
      </c>
      <c r="X69" s="520"/>
      <c r="Y69" s="560">
        <f t="shared" si="59"/>
        <v>0.25</v>
      </c>
      <c r="Z69" s="561">
        <f>+T69/F69</f>
        <v>0.25</v>
      </c>
      <c r="AA69" s="503">
        <f t="shared" si="64"/>
        <v>5.0000000000000001E-3</v>
      </c>
      <c r="AB69" s="504">
        <f t="shared" si="65"/>
        <v>5.0000000000000001E-3</v>
      </c>
      <c r="AC69" s="208" t="s">
        <v>1850</v>
      </c>
      <c r="AD69" s="642" t="s">
        <v>1893</v>
      </c>
      <c r="AE69" s="759" t="s">
        <v>2272</v>
      </c>
      <c r="AF69" s="759" t="s">
        <v>2294</v>
      </c>
      <c r="AG69" s="654" t="s">
        <v>1865</v>
      </c>
      <c r="AH69" s="654" t="s">
        <v>1865</v>
      </c>
      <c r="AI69" s="759" t="s">
        <v>2558</v>
      </c>
      <c r="AJ69" s="180"/>
    </row>
    <row r="70" spans="1:36" ht="132.6" customHeight="1" thickBot="1" x14ac:dyDescent="0.4">
      <c r="A70" s="301"/>
      <c r="B70" s="1195" t="s">
        <v>121</v>
      </c>
      <c r="C70" s="1195" t="s">
        <v>122</v>
      </c>
      <c r="D70" s="452" t="s">
        <v>12</v>
      </c>
      <c r="E70" s="515">
        <v>0.02</v>
      </c>
      <c r="F70" s="480">
        <v>4</v>
      </c>
      <c r="G70" s="481">
        <v>1</v>
      </c>
      <c r="H70" s="482">
        <v>1</v>
      </c>
      <c r="I70" s="483">
        <f t="shared" si="55"/>
        <v>0.25</v>
      </c>
      <c r="J70" s="486">
        <f t="shared" si="52"/>
        <v>0.25</v>
      </c>
      <c r="K70" s="483">
        <f t="shared" si="56"/>
        <v>5.0000000000000001E-3</v>
      </c>
      <c r="L70" s="486">
        <f t="shared" si="30"/>
        <v>5.0000000000000001E-3</v>
      </c>
      <c r="M70" s="481">
        <v>1</v>
      </c>
      <c r="N70" s="546">
        <v>0.25</v>
      </c>
      <c r="O70" s="542">
        <v>0.25</v>
      </c>
      <c r="P70" s="542">
        <v>0</v>
      </c>
      <c r="Q70" s="542">
        <v>0</v>
      </c>
      <c r="R70" s="542">
        <v>0.5</v>
      </c>
      <c r="S70" s="482">
        <f t="shared" si="60"/>
        <v>1</v>
      </c>
      <c r="T70" s="551">
        <f t="shared" si="62"/>
        <v>2</v>
      </c>
      <c r="U70" s="535">
        <f t="shared" si="58"/>
        <v>1</v>
      </c>
      <c r="V70" s="520">
        <f t="shared" si="38"/>
        <v>1</v>
      </c>
      <c r="W70" s="535">
        <f t="shared" si="63"/>
        <v>0.02</v>
      </c>
      <c r="X70" s="520">
        <f t="shared" si="39"/>
        <v>0.02</v>
      </c>
      <c r="Y70" s="560">
        <f t="shared" si="59"/>
        <v>0.25</v>
      </c>
      <c r="Z70" s="561">
        <f t="shared" si="40"/>
        <v>0.5</v>
      </c>
      <c r="AA70" s="503">
        <f t="shared" si="64"/>
        <v>5.0000000000000001E-3</v>
      </c>
      <c r="AB70" s="504">
        <f t="shared" si="65"/>
        <v>0.01</v>
      </c>
      <c r="AC70" s="208" t="s">
        <v>1850</v>
      </c>
      <c r="AD70" s="642" t="s">
        <v>1893</v>
      </c>
      <c r="AE70" s="759" t="s">
        <v>2272</v>
      </c>
      <c r="AF70" s="759" t="s">
        <v>2294</v>
      </c>
      <c r="AG70" s="759" t="s">
        <v>2411</v>
      </c>
      <c r="AH70" s="759" t="s">
        <v>2445</v>
      </c>
      <c r="AI70" s="759" t="s">
        <v>2558</v>
      </c>
      <c r="AJ70" s="180"/>
    </row>
    <row r="71" spans="1:36" ht="132.6" customHeight="1" thickBot="1" x14ac:dyDescent="0.4">
      <c r="A71" s="301"/>
      <c r="B71" s="1195" t="s">
        <v>123</v>
      </c>
      <c r="C71" s="1195" t="s">
        <v>124</v>
      </c>
      <c r="D71" s="452" t="s">
        <v>12</v>
      </c>
      <c r="E71" s="515">
        <v>0.08</v>
      </c>
      <c r="F71" s="480">
        <v>8</v>
      </c>
      <c r="G71" s="481">
        <v>2</v>
      </c>
      <c r="H71" s="482">
        <v>0</v>
      </c>
      <c r="I71" s="483">
        <f t="shared" si="55"/>
        <v>0.25</v>
      </c>
      <c r="J71" s="486"/>
      <c r="K71" s="483">
        <f t="shared" si="56"/>
        <v>0.02</v>
      </c>
      <c r="L71" s="486"/>
      <c r="M71" s="481">
        <v>2</v>
      </c>
      <c r="N71" s="546"/>
      <c r="O71" s="542"/>
      <c r="P71" s="542"/>
      <c r="Q71" s="542"/>
      <c r="R71" s="542"/>
      <c r="S71" s="482">
        <f t="shared" si="60"/>
        <v>0</v>
      </c>
      <c r="T71" s="551">
        <f t="shared" si="62"/>
        <v>2</v>
      </c>
      <c r="U71" s="535">
        <f t="shared" si="58"/>
        <v>1</v>
      </c>
      <c r="V71" s="520"/>
      <c r="W71" s="535">
        <f t="shared" si="63"/>
        <v>0.08</v>
      </c>
      <c r="X71" s="520"/>
      <c r="Y71" s="560">
        <f t="shared" si="59"/>
        <v>0.25</v>
      </c>
      <c r="Z71" s="561">
        <f t="shared" si="40"/>
        <v>0.25</v>
      </c>
      <c r="AA71" s="503">
        <f t="shared" si="64"/>
        <v>0.02</v>
      </c>
      <c r="AB71" s="504">
        <f t="shared" si="65"/>
        <v>0.02</v>
      </c>
      <c r="AC71" s="208" t="s">
        <v>1850</v>
      </c>
      <c r="AD71" s="642" t="s">
        <v>1893</v>
      </c>
      <c r="AE71" s="759" t="s">
        <v>2272</v>
      </c>
      <c r="AF71" s="759" t="s">
        <v>2294</v>
      </c>
      <c r="AG71" s="759" t="s">
        <v>2411</v>
      </c>
      <c r="AH71" s="759" t="s">
        <v>2445</v>
      </c>
      <c r="AI71" s="759" t="s">
        <v>2558</v>
      </c>
      <c r="AJ71" s="180"/>
    </row>
    <row r="72" spans="1:36" ht="132.6" customHeight="1" thickBot="1" x14ac:dyDescent="0.4">
      <c r="A72" s="301"/>
      <c r="B72" s="1195" t="s">
        <v>125</v>
      </c>
      <c r="C72" s="1195" t="s">
        <v>126</v>
      </c>
      <c r="D72" s="452" t="s">
        <v>12</v>
      </c>
      <c r="E72" s="515">
        <v>0.05</v>
      </c>
      <c r="F72" s="480">
        <v>4</v>
      </c>
      <c r="G72" s="481">
        <v>0</v>
      </c>
      <c r="H72" s="482">
        <v>0</v>
      </c>
      <c r="I72" s="483"/>
      <c r="J72" s="486"/>
      <c r="K72" s="483"/>
      <c r="L72" s="486">
        <f t="shared" si="30"/>
        <v>0</v>
      </c>
      <c r="M72" s="481"/>
      <c r="N72" s="546"/>
      <c r="O72" s="542"/>
      <c r="P72" s="542"/>
      <c r="Q72" s="542"/>
      <c r="R72" s="542"/>
      <c r="S72" s="482">
        <f t="shared" si="60"/>
        <v>0</v>
      </c>
      <c r="T72" s="551">
        <f t="shared" si="62"/>
        <v>0</v>
      </c>
      <c r="U72" s="535"/>
      <c r="V72" s="520"/>
      <c r="W72" s="535"/>
      <c r="X72" s="520"/>
      <c r="Y72" s="560"/>
      <c r="Z72" s="561">
        <v>0</v>
      </c>
      <c r="AA72" s="503">
        <v>0</v>
      </c>
      <c r="AB72" s="504">
        <v>0</v>
      </c>
      <c r="AC72" s="208" t="s">
        <v>1850</v>
      </c>
      <c r="AD72" s="642" t="s">
        <v>1893</v>
      </c>
      <c r="AE72" s="759" t="s">
        <v>2272</v>
      </c>
      <c r="AF72" s="759" t="s">
        <v>2294</v>
      </c>
      <c r="AG72" s="759" t="s">
        <v>2411</v>
      </c>
      <c r="AH72" s="759" t="s">
        <v>2445</v>
      </c>
      <c r="AI72" s="759" t="s">
        <v>2558</v>
      </c>
      <c r="AJ72" s="180"/>
    </row>
    <row r="73" spans="1:36" ht="132.6" customHeight="1" thickBot="1" x14ac:dyDescent="0.4">
      <c r="A73" s="301"/>
      <c r="B73" s="1204" t="s">
        <v>127</v>
      </c>
      <c r="C73" s="1204" t="s">
        <v>128</v>
      </c>
      <c r="D73" s="452" t="s">
        <v>12</v>
      </c>
      <c r="E73" s="515">
        <v>0.05</v>
      </c>
      <c r="F73" s="480">
        <v>8</v>
      </c>
      <c r="G73" s="481">
        <v>2</v>
      </c>
      <c r="H73" s="482">
        <v>2</v>
      </c>
      <c r="I73" s="483">
        <f t="shared" si="55"/>
        <v>0.25</v>
      </c>
      <c r="J73" s="486">
        <f t="shared" si="52"/>
        <v>0.25</v>
      </c>
      <c r="K73" s="483">
        <f t="shared" si="56"/>
        <v>1.2500000000000001E-2</v>
      </c>
      <c r="L73" s="486">
        <f t="shared" si="30"/>
        <v>1.2500000000000001E-2</v>
      </c>
      <c r="M73" s="481">
        <v>2</v>
      </c>
      <c r="N73" s="546">
        <v>0</v>
      </c>
      <c r="O73" s="542">
        <v>3</v>
      </c>
      <c r="P73" s="542">
        <v>0</v>
      </c>
      <c r="Q73" s="542">
        <v>0</v>
      </c>
      <c r="R73" s="542">
        <v>0</v>
      </c>
      <c r="S73" s="482">
        <f t="shared" si="60"/>
        <v>3</v>
      </c>
      <c r="T73" s="551">
        <f t="shared" si="62"/>
        <v>5</v>
      </c>
      <c r="U73" s="535">
        <f t="shared" si="58"/>
        <v>1</v>
      </c>
      <c r="V73" s="520">
        <v>1</v>
      </c>
      <c r="W73" s="535">
        <f>+U73*E73</f>
        <v>0.05</v>
      </c>
      <c r="X73" s="520">
        <f>+V73*E73</f>
        <v>0.05</v>
      </c>
      <c r="Y73" s="560">
        <f t="shared" si="59"/>
        <v>0.25</v>
      </c>
      <c r="Z73" s="562">
        <f t="shared" si="40"/>
        <v>0.625</v>
      </c>
      <c r="AA73" s="503">
        <f>+Y73*E73</f>
        <v>1.2500000000000001E-2</v>
      </c>
      <c r="AB73" s="504">
        <f>+Z73*E73</f>
        <v>3.125E-2</v>
      </c>
      <c r="AC73" s="208" t="s">
        <v>1850</v>
      </c>
      <c r="AD73" s="642" t="s">
        <v>1893</v>
      </c>
      <c r="AE73" s="759" t="s">
        <v>2272</v>
      </c>
      <c r="AF73" s="759" t="s">
        <v>2294</v>
      </c>
      <c r="AG73" s="759" t="s">
        <v>2411</v>
      </c>
      <c r="AH73" s="759" t="s">
        <v>2445</v>
      </c>
      <c r="AI73" s="759" t="s">
        <v>2558</v>
      </c>
      <c r="AJ73" s="180"/>
    </row>
    <row r="74" spans="1:36" ht="132.6" customHeight="1" thickBot="1" x14ac:dyDescent="0.4">
      <c r="A74" s="301"/>
      <c r="B74" s="1204" t="s">
        <v>129</v>
      </c>
      <c r="C74" s="1204" t="s">
        <v>130</v>
      </c>
      <c r="D74" s="452" t="s">
        <v>12</v>
      </c>
      <c r="E74" s="515">
        <v>0.02</v>
      </c>
      <c r="F74" s="480">
        <v>2</v>
      </c>
      <c r="G74" s="481">
        <v>0</v>
      </c>
      <c r="H74" s="482">
        <v>1</v>
      </c>
      <c r="I74" s="483"/>
      <c r="J74" s="486">
        <f t="shared" si="52"/>
        <v>0.5</v>
      </c>
      <c r="K74" s="483"/>
      <c r="L74" s="486">
        <f t="shared" si="30"/>
        <v>0.01</v>
      </c>
      <c r="M74" s="481"/>
      <c r="N74" s="546">
        <v>0</v>
      </c>
      <c r="O74" s="542">
        <v>1</v>
      </c>
      <c r="P74" s="542">
        <v>0</v>
      </c>
      <c r="Q74" s="542">
        <v>0</v>
      </c>
      <c r="R74" s="542">
        <v>0</v>
      </c>
      <c r="S74" s="482">
        <f t="shared" si="60"/>
        <v>1</v>
      </c>
      <c r="T74" s="551">
        <f t="shared" si="62"/>
        <v>1</v>
      </c>
      <c r="U74" s="483"/>
      <c r="V74" s="486">
        <f>+S74/H74</f>
        <v>1</v>
      </c>
      <c r="W74" s="483"/>
      <c r="X74" s="490">
        <f>+V74*E74</f>
        <v>0.02</v>
      </c>
      <c r="Y74" s="503"/>
      <c r="Z74" s="505">
        <f t="shared" ref="Z74" si="66">+T74/F74</f>
        <v>0.5</v>
      </c>
      <c r="AA74" s="503">
        <v>0</v>
      </c>
      <c r="AB74" s="504">
        <v>0</v>
      </c>
      <c r="AC74" s="208" t="s">
        <v>1850</v>
      </c>
      <c r="AD74" s="642" t="s">
        <v>1893</v>
      </c>
      <c r="AE74" s="759" t="s">
        <v>2272</v>
      </c>
      <c r="AF74" s="759" t="s">
        <v>2294</v>
      </c>
      <c r="AG74" s="759" t="s">
        <v>2411</v>
      </c>
      <c r="AH74" s="759" t="s">
        <v>2445</v>
      </c>
      <c r="AI74" s="759" t="s">
        <v>2558</v>
      </c>
      <c r="AJ74" s="180"/>
    </row>
    <row r="75" spans="1:36" ht="132.6" customHeight="1" thickBot="1" x14ac:dyDescent="0.45">
      <c r="A75" s="301"/>
      <c r="B75" s="1204" t="s">
        <v>131</v>
      </c>
      <c r="C75" s="1204" t="s">
        <v>132</v>
      </c>
      <c r="D75" s="452" t="s">
        <v>12</v>
      </c>
      <c r="E75" s="515">
        <v>0.08</v>
      </c>
      <c r="F75" s="480">
        <v>1</v>
      </c>
      <c r="G75" s="481">
        <v>0</v>
      </c>
      <c r="H75" s="482">
        <v>0</v>
      </c>
      <c r="I75" s="483"/>
      <c r="J75" s="486"/>
      <c r="K75" s="483"/>
      <c r="L75" s="486"/>
      <c r="M75" s="481"/>
      <c r="N75" s="546"/>
      <c r="O75" s="542"/>
      <c r="P75" s="542"/>
      <c r="Q75" s="542"/>
      <c r="R75" s="542"/>
      <c r="S75" s="482">
        <f t="shared" si="60"/>
        <v>0</v>
      </c>
      <c r="T75" s="551">
        <f t="shared" si="62"/>
        <v>0</v>
      </c>
      <c r="U75" s="483"/>
      <c r="V75" s="486"/>
      <c r="W75" s="503"/>
      <c r="X75" s="657"/>
      <c r="Z75" s="505">
        <v>0</v>
      </c>
      <c r="AA75" s="503">
        <f>+Y74*E75</f>
        <v>0</v>
      </c>
      <c r="AB75" s="504">
        <f>+Z74*E75</f>
        <v>0.04</v>
      </c>
      <c r="AC75" s="208" t="s">
        <v>1850</v>
      </c>
      <c r="AD75" s="642" t="s">
        <v>1893</v>
      </c>
      <c r="AE75" s="759" t="s">
        <v>2272</v>
      </c>
      <c r="AF75" s="759" t="s">
        <v>2294</v>
      </c>
      <c r="AG75" s="759" t="s">
        <v>2411</v>
      </c>
      <c r="AH75" s="759" t="s">
        <v>2445</v>
      </c>
      <c r="AI75" s="759" t="s">
        <v>2558</v>
      </c>
      <c r="AJ75" s="180"/>
    </row>
    <row r="76" spans="1:36" ht="132.6" customHeight="1" thickBot="1" x14ac:dyDescent="0.4">
      <c r="A76" s="301"/>
      <c r="B76" s="1204" t="s">
        <v>133</v>
      </c>
      <c r="C76" s="1204" t="s">
        <v>134</v>
      </c>
      <c r="D76" s="452" t="s">
        <v>12</v>
      </c>
      <c r="E76" s="515">
        <v>0.08</v>
      </c>
      <c r="F76" s="480">
        <v>1</v>
      </c>
      <c r="G76" s="481">
        <v>0</v>
      </c>
      <c r="H76" s="482">
        <v>0</v>
      </c>
      <c r="I76" s="483"/>
      <c r="J76" s="486"/>
      <c r="K76" s="483"/>
      <c r="L76" s="486"/>
      <c r="M76" s="481"/>
      <c r="N76" s="546"/>
      <c r="O76" s="542"/>
      <c r="P76" s="542"/>
      <c r="Q76" s="542"/>
      <c r="R76" s="542"/>
      <c r="S76" s="482">
        <f t="shared" si="60"/>
        <v>0</v>
      </c>
      <c r="T76" s="551">
        <f t="shared" si="62"/>
        <v>0</v>
      </c>
      <c r="U76" s="483"/>
      <c r="V76" s="486"/>
      <c r="W76" s="483"/>
      <c r="X76" s="524"/>
      <c r="Y76" s="503"/>
      <c r="Z76" s="571">
        <v>0</v>
      </c>
      <c r="AA76" s="503">
        <v>0</v>
      </c>
      <c r="AB76" s="504">
        <v>0</v>
      </c>
      <c r="AC76" s="208" t="s">
        <v>1850</v>
      </c>
      <c r="AD76" s="642" t="s">
        <v>1893</v>
      </c>
      <c r="AE76" s="759" t="s">
        <v>2272</v>
      </c>
      <c r="AF76" s="759" t="s">
        <v>2294</v>
      </c>
      <c r="AG76" s="759" t="s">
        <v>2411</v>
      </c>
      <c r="AH76" s="759" t="s">
        <v>2445</v>
      </c>
      <c r="AI76" s="759" t="s">
        <v>2558</v>
      </c>
      <c r="AJ76" s="180"/>
    </row>
    <row r="77" spans="1:36" ht="42.75" customHeight="1" thickBot="1" x14ac:dyDescent="0.45">
      <c r="A77" s="301"/>
      <c r="B77" s="1300" t="s">
        <v>1604</v>
      </c>
      <c r="C77" s="1299"/>
      <c r="D77" s="452"/>
      <c r="E77" s="476">
        <v>0.1</v>
      </c>
      <c r="F77" s="479"/>
      <c r="G77" s="479"/>
      <c r="H77" s="485"/>
      <c r="I77" s="478">
        <f>+AVERAGE(I78:I86)</f>
        <v>0.25</v>
      </c>
      <c r="J77" s="478">
        <f>+AVERAGE(J78:J86)</f>
        <v>0.37172965116279072</v>
      </c>
      <c r="K77" s="478">
        <f>+K78+K79+K80+K81+K82+K83+K84+K85+K86</f>
        <v>0.13750000000000001</v>
      </c>
      <c r="L77" s="478">
        <f>+L78+L79+L80+L81+L82+L83+L84+L85+L86</f>
        <v>0.33712209302325585</v>
      </c>
      <c r="M77" s="479"/>
      <c r="N77" s="485"/>
      <c r="O77" s="485"/>
      <c r="P77" s="485"/>
      <c r="Q77" s="485"/>
      <c r="R77" s="1200"/>
      <c r="S77" s="485"/>
      <c r="T77" s="485"/>
      <c r="U77" s="544">
        <f>+AVERAGE(U78:U86)</f>
        <v>0.95625000000000004</v>
      </c>
      <c r="V77" s="544">
        <f>+AVERAGE(V78:V86)</f>
        <v>0.99824999999999997</v>
      </c>
      <c r="W77" s="544">
        <f>+(W78+W79+W80+W81+W82+W83+W84+W85+W86)*E77</f>
        <v>5.2593749999999995E-2</v>
      </c>
      <c r="X77" s="544">
        <f>+(X78+X79+X80+X81+X82+X83+X84+X85+X86)*E77</f>
        <v>8.8846000000000008E-2</v>
      </c>
      <c r="Y77" s="499">
        <f>+AVERAGE(Y78:Y86)</f>
        <v>0.19921875</v>
      </c>
      <c r="Z77" s="564">
        <f>+AVERAGE(Z78:Z86)</f>
        <v>0.52151937984496133</v>
      </c>
      <c r="AA77" s="499">
        <f>+(AA78+AA79+AA80+AA81+AA82+AA83+AA84+AA85+AA86)*E77</f>
        <v>1.3148437499999999E-2</v>
      </c>
      <c r="AB77" s="556">
        <f>+(AB78+AB79+AB80+AB81+AB82+AB83+AB84+AB85+AB86)</f>
        <v>0.52630418604651164</v>
      </c>
      <c r="AC77" s="201"/>
      <c r="AD77" s="450"/>
      <c r="AE77" s="450"/>
      <c r="AF77" s="450"/>
      <c r="AG77" s="450"/>
      <c r="AH77" s="450"/>
      <c r="AI77" s="225"/>
      <c r="AJ77" s="180"/>
    </row>
    <row r="78" spans="1:36" ht="133.80000000000001" customHeight="1" thickBot="1" x14ac:dyDescent="0.4">
      <c r="A78" s="301"/>
      <c r="B78" s="1195" t="s">
        <v>135</v>
      </c>
      <c r="C78" s="1195" t="s">
        <v>136</v>
      </c>
      <c r="D78" s="452" t="s">
        <v>12</v>
      </c>
      <c r="E78" s="352">
        <v>0.11</v>
      </c>
      <c r="F78" s="480">
        <v>8</v>
      </c>
      <c r="G78" s="481">
        <v>0</v>
      </c>
      <c r="H78" s="482">
        <v>3</v>
      </c>
      <c r="I78" s="483"/>
      <c r="J78" s="486">
        <f t="shared" si="52"/>
        <v>0.375</v>
      </c>
      <c r="K78" s="483"/>
      <c r="L78" s="486">
        <f>+(H78/F78)*E78</f>
        <v>4.1250000000000002E-2</v>
      </c>
      <c r="M78" s="481"/>
      <c r="N78" s="546">
        <v>0</v>
      </c>
      <c r="O78" s="542">
        <v>4</v>
      </c>
      <c r="P78" s="542">
        <v>0</v>
      </c>
      <c r="Q78" s="542">
        <v>0</v>
      </c>
      <c r="R78" s="542">
        <v>0</v>
      </c>
      <c r="S78" s="482">
        <f>+N78+O78+P78+Q78+R78</f>
        <v>4</v>
      </c>
      <c r="T78" s="482">
        <f>+S78+M78</f>
        <v>4</v>
      </c>
      <c r="U78" s="483"/>
      <c r="V78" s="520">
        <v>1</v>
      </c>
      <c r="W78" s="535"/>
      <c r="X78" s="520">
        <f t="shared" si="39"/>
        <v>0.11</v>
      </c>
      <c r="Y78" s="560"/>
      <c r="Z78" s="567">
        <f>+T78/F78</f>
        <v>0.5</v>
      </c>
      <c r="AA78" s="503">
        <v>0</v>
      </c>
      <c r="AB78" s="504">
        <f>+Z78*E78</f>
        <v>5.5E-2</v>
      </c>
      <c r="AC78" s="208" t="s">
        <v>1850</v>
      </c>
      <c r="AD78" s="661" t="s">
        <v>1920</v>
      </c>
      <c r="AE78" s="759" t="s">
        <v>2272</v>
      </c>
      <c r="AF78" s="759" t="s">
        <v>2294</v>
      </c>
      <c r="AG78" s="759" t="s">
        <v>2411</v>
      </c>
      <c r="AH78" s="759" t="s">
        <v>2445</v>
      </c>
      <c r="AI78" s="759" t="s">
        <v>2558</v>
      </c>
      <c r="AJ78" s="180"/>
    </row>
    <row r="79" spans="1:36" ht="86.4" customHeight="1" thickBot="1" x14ac:dyDescent="0.4">
      <c r="A79" s="301"/>
      <c r="B79" s="1195" t="s">
        <v>137</v>
      </c>
      <c r="C79" s="1195" t="s">
        <v>138</v>
      </c>
      <c r="D79" s="452" t="s">
        <v>12</v>
      </c>
      <c r="E79" s="352">
        <v>0.11</v>
      </c>
      <c r="F79" s="480">
        <f>64*4</f>
        <v>256</v>
      </c>
      <c r="G79" s="481">
        <v>64</v>
      </c>
      <c r="H79" s="482">
        <v>64</v>
      </c>
      <c r="I79" s="483">
        <f t="shared" ref="I79:I86" si="67">+G79/F79</f>
        <v>0.25</v>
      </c>
      <c r="J79" s="486">
        <f t="shared" si="52"/>
        <v>0.25</v>
      </c>
      <c r="K79" s="483">
        <f t="shared" ref="K79:K86" si="68">+(G79/F79)*E79</f>
        <v>2.75E-2</v>
      </c>
      <c r="L79" s="486">
        <f t="shared" si="30"/>
        <v>2.75E-2</v>
      </c>
      <c r="M79" s="481">
        <v>50</v>
      </c>
      <c r="N79" s="546">
        <v>23</v>
      </c>
      <c r="O79" s="542">
        <v>9</v>
      </c>
      <c r="P79" s="542">
        <v>1</v>
      </c>
      <c r="Q79" s="542">
        <v>0</v>
      </c>
      <c r="R79" s="542">
        <v>0</v>
      </c>
      <c r="S79" s="482">
        <f t="shared" ref="S79:S85" si="69">+N79+O79+P79+Q79+R79</f>
        <v>33</v>
      </c>
      <c r="T79" s="482">
        <f t="shared" ref="T79:T86" si="70">+S79+M79</f>
        <v>83</v>
      </c>
      <c r="U79" s="483">
        <f>+(M79/G79)</f>
        <v>0.78125</v>
      </c>
      <c r="V79" s="520">
        <v>1</v>
      </c>
      <c r="W79" s="535">
        <f>+U79*E79</f>
        <v>8.59375E-2</v>
      </c>
      <c r="X79" s="520">
        <f t="shared" si="39"/>
        <v>0.11</v>
      </c>
      <c r="Y79" s="560">
        <f>+M79/F79</f>
        <v>0.1953125</v>
      </c>
      <c r="Z79" s="561">
        <f>37.5%+6.25%+6.2%</f>
        <v>0.4995</v>
      </c>
      <c r="AA79" s="503">
        <f>+Y79*E79</f>
        <v>2.1484375E-2</v>
      </c>
      <c r="AB79" s="504">
        <f>+Z79*E79</f>
        <v>5.4945000000000001E-2</v>
      </c>
      <c r="AC79" s="208" t="s">
        <v>1850</v>
      </c>
      <c r="AD79" s="642" t="s">
        <v>1893</v>
      </c>
      <c r="AE79" s="759" t="s">
        <v>2272</v>
      </c>
      <c r="AF79" s="759" t="s">
        <v>2294</v>
      </c>
      <c r="AG79" s="759" t="s">
        <v>2411</v>
      </c>
      <c r="AH79" s="654" t="s">
        <v>1865</v>
      </c>
      <c r="AI79" s="759" t="s">
        <v>2558</v>
      </c>
      <c r="AJ79" s="180"/>
    </row>
    <row r="80" spans="1:36" ht="80.400000000000006" customHeight="1" thickBot="1" x14ac:dyDescent="0.4">
      <c r="A80" s="301"/>
      <c r="B80" s="1195" t="s">
        <v>139</v>
      </c>
      <c r="C80" s="1195" t="s">
        <v>140</v>
      </c>
      <c r="D80" s="452" t="s">
        <v>12</v>
      </c>
      <c r="E80" s="352">
        <v>0.11</v>
      </c>
      <c r="F80" s="480">
        <v>9</v>
      </c>
      <c r="G80" s="481">
        <v>0</v>
      </c>
      <c r="H80" s="482">
        <v>0</v>
      </c>
      <c r="I80" s="483"/>
      <c r="J80" s="486"/>
      <c r="K80" s="483"/>
      <c r="L80" s="486"/>
      <c r="M80" s="481"/>
      <c r="N80" s="546"/>
      <c r="O80" s="542"/>
      <c r="P80" s="542"/>
      <c r="Q80" s="542"/>
      <c r="R80" s="542"/>
      <c r="S80" s="482">
        <f t="shared" si="69"/>
        <v>0</v>
      </c>
      <c r="T80" s="482">
        <f t="shared" si="70"/>
        <v>0</v>
      </c>
      <c r="U80" s="483"/>
      <c r="V80" s="520"/>
      <c r="W80" s="535"/>
      <c r="X80" s="520"/>
      <c r="Y80" s="560">
        <v>0</v>
      </c>
      <c r="Z80" s="561">
        <v>0</v>
      </c>
      <c r="AA80" s="503">
        <v>0</v>
      </c>
      <c r="AB80" s="504">
        <f t="shared" ref="AB80:AB81" si="71">+Z80*E80</f>
        <v>0</v>
      </c>
      <c r="AC80" s="208" t="s">
        <v>1850</v>
      </c>
      <c r="AD80" s="642" t="s">
        <v>1893</v>
      </c>
      <c r="AE80" s="759" t="s">
        <v>2272</v>
      </c>
      <c r="AF80" s="759" t="s">
        <v>2294</v>
      </c>
      <c r="AG80" s="759" t="s">
        <v>2411</v>
      </c>
      <c r="AH80" s="759" t="s">
        <v>2445</v>
      </c>
      <c r="AI80" s="759" t="s">
        <v>2558</v>
      </c>
      <c r="AJ80" s="180"/>
    </row>
    <row r="81" spans="1:36" ht="113.4" customHeight="1" thickBot="1" x14ac:dyDescent="0.4">
      <c r="A81" s="301"/>
      <c r="B81" s="1195" t="s">
        <v>141</v>
      </c>
      <c r="C81" s="1195" t="s">
        <v>142</v>
      </c>
      <c r="D81" s="452" t="s">
        <v>12</v>
      </c>
      <c r="E81" s="352">
        <v>0.12</v>
      </c>
      <c r="F81" s="480">
        <v>1</v>
      </c>
      <c r="G81" s="481">
        <v>0</v>
      </c>
      <c r="H81" s="482">
        <v>1</v>
      </c>
      <c r="I81" s="483"/>
      <c r="J81" s="486">
        <f t="shared" si="52"/>
        <v>1</v>
      </c>
      <c r="K81" s="483"/>
      <c r="L81" s="486">
        <f t="shared" si="30"/>
        <v>0.12</v>
      </c>
      <c r="M81" s="481"/>
      <c r="N81" s="546">
        <v>0</v>
      </c>
      <c r="O81" s="542">
        <v>0</v>
      </c>
      <c r="P81" s="542">
        <v>0</v>
      </c>
      <c r="Q81" s="542">
        <v>0</v>
      </c>
      <c r="R81" s="542">
        <v>1</v>
      </c>
      <c r="S81" s="482">
        <f t="shared" si="69"/>
        <v>1</v>
      </c>
      <c r="T81" s="482">
        <f t="shared" si="70"/>
        <v>1</v>
      </c>
      <c r="U81" s="483"/>
      <c r="V81" s="520">
        <f t="shared" ref="V81:V90" si="72">+S81/H81</f>
        <v>1</v>
      </c>
      <c r="W81" s="535"/>
      <c r="X81" s="520">
        <f t="shared" si="39"/>
        <v>0.12</v>
      </c>
      <c r="Y81" s="560"/>
      <c r="Z81" s="561">
        <f>+T81/F81</f>
        <v>1</v>
      </c>
      <c r="AA81" s="503">
        <v>0</v>
      </c>
      <c r="AB81" s="504">
        <f t="shared" si="71"/>
        <v>0.12</v>
      </c>
      <c r="AC81" s="208" t="s">
        <v>1850</v>
      </c>
      <c r="AD81" s="661" t="s">
        <v>1920</v>
      </c>
      <c r="AE81" s="759" t="s">
        <v>2272</v>
      </c>
      <c r="AF81" s="759" t="s">
        <v>2294</v>
      </c>
      <c r="AG81" s="654" t="s">
        <v>1865</v>
      </c>
      <c r="AH81" s="759" t="s">
        <v>2445</v>
      </c>
      <c r="AI81" s="759" t="s">
        <v>2558</v>
      </c>
      <c r="AJ81" s="180"/>
    </row>
    <row r="82" spans="1:36" ht="105" customHeight="1" thickBot="1" x14ac:dyDescent="0.4">
      <c r="A82" s="301"/>
      <c r="B82" s="1195" t="s">
        <v>143</v>
      </c>
      <c r="C82" s="1195" t="s">
        <v>144</v>
      </c>
      <c r="D82" s="452" t="s">
        <v>12</v>
      </c>
      <c r="E82" s="352">
        <v>0.11</v>
      </c>
      <c r="F82" s="480">
        <v>4</v>
      </c>
      <c r="G82" s="481">
        <v>1</v>
      </c>
      <c r="H82" s="482">
        <v>1</v>
      </c>
      <c r="I82" s="483">
        <f t="shared" si="67"/>
        <v>0.25</v>
      </c>
      <c r="J82" s="486">
        <f t="shared" si="52"/>
        <v>0.25</v>
      </c>
      <c r="K82" s="483">
        <f t="shared" si="68"/>
        <v>2.75E-2</v>
      </c>
      <c r="L82" s="486">
        <f t="shared" si="30"/>
        <v>2.75E-2</v>
      </c>
      <c r="M82" s="481">
        <v>1</v>
      </c>
      <c r="N82" s="546">
        <v>0</v>
      </c>
      <c r="O82" s="542">
        <v>1</v>
      </c>
      <c r="P82" s="542">
        <v>0</v>
      </c>
      <c r="Q82" s="542">
        <v>0</v>
      </c>
      <c r="R82" s="542">
        <v>0</v>
      </c>
      <c r="S82" s="482">
        <f t="shared" si="69"/>
        <v>1</v>
      </c>
      <c r="T82" s="482">
        <f t="shared" si="70"/>
        <v>2</v>
      </c>
      <c r="U82" s="483">
        <f>+(M82/G82)</f>
        <v>1</v>
      </c>
      <c r="V82" s="520">
        <f t="shared" si="72"/>
        <v>1</v>
      </c>
      <c r="W82" s="535">
        <f>+U82*E82</f>
        <v>0.11</v>
      </c>
      <c r="X82" s="520">
        <f t="shared" si="39"/>
        <v>0.11</v>
      </c>
      <c r="Y82" s="560">
        <f>+M82/F82</f>
        <v>0.25</v>
      </c>
      <c r="Z82" s="561">
        <f t="shared" ref="Z82:Z90" si="73">+T82/F82</f>
        <v>0.5</v>
      </c>
      <c r="AA82" s="503">
        <f>+Y82*E82</f>
        <v>2.75E-2</v>
      </c>
      <c r="AB82" s="504">
        <f>+Z82*E82</f>
        <v>5.5E-2</v>
      </c>
      <c r="AC82" s="208" t="s">
        <v>1850</v>
      </c>
      <c r="AD82" s="642" t="s">
        <v>1893</v>
      </c>
      <c r="AE82" s="759" t="s">
        <v>2272</v>
      </c>
      <c r="AF82" s="759" t="s">
        <v>2294</v>
      </c>
      <c r="AG82" s="654" t="s">
        <v>1865</v>
      </c>
      <c r="AH82" s="759" t="s">
        <v>2445</v>
      </c>
      <c r="AI82" s="759" t="s">
        <v>2558</v>
      </c>
      <c r="AJ82" s="180"/>
    </row>
    <row r="83" spans="1:36" ht="73.2" customHeight="1" thickBot="1" x14ac:dyDescent="0.4">
      <c r="A83" s="301"/>
      <c r="B83" s="1195" t="s">
        <v>145</v>
      </c>
      <c r="C83" s="1195" t="s">
        <v>146</v>
      </c>
      <c r="D83" s="452" t="s">
        <v>12</v>
      </c>
      <c r="E83" s="352">
        <v>0.11</v>
      </c>
      <c r="F83" s="480">
        <v>4</v>
      </c>
      <c r="G83" s="481">
        <v>1</v>
      </c>
      <c r="H83" s="482">
        <v>1</v>
      </c>
      <c r="I83" s="483">
        <f t="shared" si="67"/>
        <v>0.25</v>
      </c>
      <c r="J83" s="486">
        <f t="shared" si="52"/>
        <v>0.25</v>
      </c>
      <c r="K83" s="483">
        <f t="shared" si="68"/>
        <v>2.75E-2</v>
      </c>
      <c r="L83" s="486">
        <f t="shared" si="30"/>
        <v>2.75E-2</v>
      </c>
      <c r="M83" s="481">
        <v>1</v>
      </c>
      <c r="N83" s="546">
        <v>0</v>
      </c>
      <c r="O83" s="542">
        <v>0.5</v>
      </c>
      <c r="P83" s="542">
        <v>0.25</v>
      </c>
      <c r="Q83" s="542">
        <v>0.1225</v>
      </c>
      <c r="R83" s="542">
        <v>0.1225</v>
      </c>
      <c r="S83" s="482">
        <f t="shared" si="69"/>
        <v>0.99500000000000011</v>
      </c>
      <c r="T83" s="482">
        <f t="shared" si="70"/>
        <v>1.9950000000000001</v>
      </c>
      <c r="U83" s="483">
        <f>+(M83/G83)</f>
        <v>1</v>
      </c>
      <c r="V83" s="486">
        <f t="shared" si="72"/>
        <v>0.99500000000000011</v>
      </c>
      <c r="W83" s="535">
        <f>+U83*E83</f>
        <v>0.11</v>
      </c>
      <c r="X83" s="520">
        <f t="shared" si="39"/>
        <v>0.10945000000000001</v>
      </c>
      <c r="Y83" s="560">
        <f>+M83/F83</f>
        <v>0.25</v>
      </c>
      <c r="Z83" s="504">
        <f t="shared" si="73"/>
        <v>0.49875000000000003</v>
      </c>
      <c r="AA83" s="503">
        <f>+Y83*E83</f>
        <v>2.75E-2</v>
      </c>
      <c r="AB83" s="504">
        <f>+Z83*E83</f>
        <v>5.4862500000000002E-2</v>
      </c>
      <c r="AC83" s="208" t="s">
        <v>1850</v>
      </c>
      <c r="AD83" s="642" t="s">
        <v>1893</v>
      </c>
      <c r="AE83" s="759" t="s">
        <v>2272</v>
      </c>
      <c r="AF83" s="759" t="s">
        <v>2294</v>
      </c>
      <c r="AG83" s="759" t="s">
        <v>2411</v>
      </c>
      <c r="AH83" s="759" t="s">
        <v>2445</v>
      </c>
      <c r="AI83" s="759" t="s">
        <v>2558</v>
      </c>
      <c r="AJ83" s="180"/>
    </row>
    <row r="84" spans="1:36" ht="94.95" customHeight="1" thickBot="1" x14ac:dyDescent="0.4">
      <c r="A84" s="301"/>
      <c r="B84" s="1204" t="s">
        <v>147</v>
      </c>
      <c r="C84" s="1204" t="s">
        <v>148</v>
      </c>
      <c r="D84" s="452" t="s">
        <v>12</v>
      </c>
      <c r="E84" s="352">
        <v>0.11</v>
      </c>
      <c r="F84" s="480">
        <v>1</v>
      </c>
      <c r="G84" s="481">
        <v>0.25</v>
      </c>
      <c r="H84" s="482">
        <v>0.25</v>
      </c>
      <c r="I84" s="483">
        <f t="shared" si="67"/>
        <v>0.25</v>
      </c>
      <c r="J84" s="486">
        <f t="shared" si="52"/>
        <v>0.25</v>
      </c>
      <c r="K84" s="483">
        <f t="shared" si="68"/>
        <v>2.75E-2</v>
      </c>
      <c r="L84" s="486">
        <f t="shared" si="30"/>
        <v>2.75E-2</v>
      </c>
      <c r="M84" s="526">
        <v>0.25</v>
      </c>
      <c r="N84" s="546">
        <v>6.25E-2</v>
      </c>
      <c r="O84" s="949">
        <v>6.25E-2</v>
      </c>
      <c r="P84" s="949">
        <v>6.2E-2</v>
      </c>
      <c r="Q84" s="949">
        <v>3.1E-2</v>
      </c>
      <c r="R84" s="949">
        <v>3.1E-2</v>
      </c>
      <c r="S84" s="482">
        <f t="shared" si="69"/>
        <v>0.249</v>
      </c>
      <c r="T84" s="482">
        <f t="shared" si="70"/>
        <v>0.499</v>
      </c>
      <c r="U84" s="483">
        <f>+(M84/G84)</f>
        <v>1</v>
      </c>
      <c r="V84" s="486">
        <f t="shared" si="72"/>
        <v>0.996</v>
      </c>
      <c r="W84" s="535">
        <f>+U84*E84</f>
        <v>0.11</v>
      </c>
      <c r="X84" s="520">
        <f t="shared" si="39"/>
        <v>0.10956</v>
      </c>
      <c r="Y84" s="560">
        <f>+M84/F84</f>
        <v>0.25</v>
      </c>
      <c r="Z84" s="504">
        <f t="shared" si="73"/>
        <v>0.499</v>
      </c>
      <c r="AA84" s="503">
        <f>+Y84*E84</f>
        <v>2.75E-2</v>
      </c>
      <c r="AB84" s="504">
        <f>+Z84*E84</f>
        <v>5.4890000000000001E-2</v>
      </c>
      <c r="AC84" s="208" t="s">
        <v>1850</v>
      </c>
      <c r="AD84" s="642" t="s">
        <v>1893</v>
      </c>
      <c r="AE84" s="759" t="s">
        <v>2272</v>
      </c>
      <c r="AF84" s="759" t="s">
        <v>2294</v>
      </c>
      <c r="AG84" s="654" t="s">
        <v>1865</v>
      </c>
      <c r="AH84" s="759" t="s">
        <v>2445</v>
      </c>
      <c r="AI84" s="759" t="s">
        <v>2558</v>
      </c>
      <c r="AJ84" s="180"/>
    </row>
    <row r="85" spans="1:36" ht="95.4" customHeight="1" thickBot="1" x14ac:dyDescent="0.4">
      <c r="A85" s="301"/>
      <c r="B85" s="1195" t="s">
        <v>149</v>
      </c>
      <c r="C85" s="1195" t="s">
        <v>150</v>
      </c>
      <c r="D85" s="452" t="s">
        <v>12</v>
      </c>
      <c r="E85" s="352">
        <v>0.11</v>
      </c>
      <c r="F85" s="480">
        <v>86</v>
      </c>
      <c r="G85" s="481">
        <v>0</v>
      </c>
      <c r="H85" s="482">
        <v>30</v>
      </c>
      <c r="I85" s="483"/>
      <c r="J85" s="486">
        <f t="shared" si="52"/>
        <v>0.34883720930232559</v>
      </c>
      <c r="K85" s="483"/>
      <c r="L85" s="486">
        <f t="shared" si="30"/>
        <v>3.8372093023255817E-2</v>
      </c>
      <c r="M85" s="481"/>
      <c r="N85" s="546">
        <v>0</v>
      </c>
      <c r="O85" s="542">
        <v>0</v>
      </c>
      <c r="P85" s="542">
        <v>60</v>
      </c>
      <c r="Q85" s="542">
        <v>0</v>
      </c>
      <c r="R85" s="542">
        <v>0</v>
      </c>
      <c r="S85" s="482">
        <f t="shared" si="69"/>
        <v>60</v>
      </c>
      <c r="T85" s="482">
        <f t="shared" si="70"/>
        <v>60</v>
      </c>
      <c r="U85" s="483"/>
      <c r="V85" s="520">
        <v>1</v>
      </c>
      <c r="W85" s="535"/>
      <c r="X85" s="520">
        <f t="shared" si="39"/>
        <v>0.11</v>
      </c>
      <c r="Y85" s="560"/>
      <c r="Z85" s="561">
        <f t="shared" si="73"/>
        <v>0.69767441860465118</v>
      </c>
      <c r="AA85" s="503">
        <v>0</v>
      </c>
      <c r="AB85" s="504">
        <f>+Z85*E85</f>
        <v>7.6744186046511634E-2</v>
      </c>
      <c r="AC85" s="208" t="s">
        <v>1850</v>
      </c>
      <c r="AD85" s="661" t="s">
        <v>1920</v>
      </c>
      <c r="AE85" s="759" t="s">
        <v>2272</v>
      </c>
      <c r="AF85" s="759" t="s">
        <v>2294</v>
      </c>
      <c r="AG85" s="759" t="s">
        <v>2411</v>
      </c>
      <c r="AH85" s="759" t="s">
        <v>2445</v>
      </c>
      <c r="AI85" s="759" t="s">
        <v>2558</v>
      </c>
      <c r="AJ85" s="180"/>
    </row>
    <row r="86" spans="1:36" ht="89.4" customHeight="1" thickBot="1" x14ac:dyDescent="0.4">
      <c r="A86" s="301"/>
      <c r="B86" s="1195" t="s">
        <v>151</v>
      </c>
      <c r="C86" s="1195" t="s">
        <v>152</v>
      </c>
      <c r="D86" s="452" t="s">
        <v>12</v>
      </c>
      <c r="E86" s="352">
        <v>0.11</v>
      </c>
      <c r="F86" s="480">
        <v>4</v>
      </c>
      <c r="G86" s="481">
        <v>1</v>
      </c>
      <c r="H86" s="482">
        <v>1</v>
      </c>
      <c r="I86" s="483">
        <f t="shared" si="67"/>
        <v>0.25</v>
      </c>
      <c r="J86" s="486">
        <f t="shared" si="52"/>
        <v>0.25</v>
      </c>
      <c r="K86" s="483">
        <f t="shared" si="68"/>
        <v>2.75E-2</v>
      </c>
      <c r="L86" s="486">
        <f t="shared" si="30"/>
        <v>2.75E-2</v>
      </c>
      <c r="M86" s="481">
        <v>1</v>
      </c>
      <c r="N86" s="546">
        <v>0.25</v>
      </c>
      <c r="O86" s="542">
        <v>0.25</v>
      </c>
      <c r="P86" s="542">
        <v>0.25</v>
      </c>
      <c r="Q86" s="542">
        <v>0.1225</v>
      </c>
      <c r="R86" s="542">
        <v>0.1225</v>
      </c>
      <c r="S86" s="482">
        <f>+N86+O86+P86+Q86+R86</f>
        <v>0.99500000000000011</v>
      </c>
      <c r="T86" s="482">
        <f t="shared" si="70"/>
        <v>1.9950000000000001</v>
      </c>
      <c r="U86" s="483">
        <f>+(M86/G86)</f>
        <v>1</v>
      </c>
      <c r="V86" s="520">
        <f t="shared" si="72"/>
        <v>0.99500000000000011</v>
      </c>
      <c r="W86" s="535">
        <f>+U86*E86</f>
        <v>0.11</v>
      </c>
      <c r="X86" s="520">
        <f t="shared" si="39"/>
        <v>0.10945000000000001</v>
      </c>
      <c r="Y86" s="560">
        <f>+M86/F86</f>
        <v>0.25</v>
      </c>
      <c r="Z86" s="566">
        <f t="shared" si="73"/>
        <v>0.49875000000000003</v>
      </c>
      <c r="AA86" s="503">
        <f>+Y86*E86</f>
        <v>2.75E-2</v>
      </c>
      <c r="AB86" s="504">
        <f>+Z86*E86</f>
        <v>5.4862500000000002E-2</v>
      </c>
      <c r="AC86" s="208" t="s">
        <v>1850</v>
      </c>
      <c r="AD86" s="642" t="s">
        <v>1893</v>
      </c>
      <c r="AE86" s="759" t="s">
        <v>2272</v>
      </c>
      <c r="AF86" s="759" t="s">
        <v>2294</v>
      </c>
      <c r="AG86" s="759" t="s">
        <v>2411</v>
      </c>
      <c r="AH86" s="759" t="s">
        <v>2445</v>
      </c>
      <c r="AI86" s="759" t="s">
        <v>2558</v>
      </c>
      <c r="AJ86" s="180"/>
    </row>
    <row r="87" spans="1:36" ht="72" customHeight="1" thickBot="1" x14ac:dyDescent="0.45">
      <c r="A87" s="301"/>
      <c r="B87" s="1300" t="s">
        <v>1605</v>
      </c>
      <c r="C87" s="1299"/>
      <c r="D87" s="452"/>
      <c r="E87" s="476">
        <v>0.1</v>
      </c>
      <c r="F87" s="479"/>
      <c r="G87" s="479"/>
      <c r="H87" s="485"/>
      <c r="I87" s="478">
        <f>+AVERAGE(I88:I90)</f>
        <v>0.25</v>
      </c>
      <c r="J87" s="478">
        <f>+AVERAGE(J88:J90)</f>
        <v>0.25</v>
      </c>
      <c r="K87" s="478">
        <f>+K88+K89+K90</f>
        <v>0.125</v>
      </c>
      <c r="L87" s="478">
        <f>+L88+L89+L90</f>
        <v>0.125</v>
      </c>
      <c r="M87" s="479"/>
      <c r="N87" s="485"/>
      <c r="O87" s="485"/>
      <c r="P87" s="485"/>
      <c r="Q87" s="485"/>
      <c r="R87" s="1200"/>
      <c r="S87" s="485"/>
      <c r="T87" s="485"/>
      <c r="U87" s="544">
        <f>+AVERAGE(U88:U90)</f>
        <v>1</v>
      </c>
      <c r="V87" s="544">
        <f>+AVERAGE(V88:V90)</f>
        <v>0.5</v>
      </c>
      <c r="W87" s="544">
        <f>+(W88+W89+W90)*E87</f>
        <v>0.05</v>
      </c>
      <c r="X87" s="544">
        <f>+(X88+X89+X90)*E87</f>
        <v>2.5000000000000001E-2</v>
      </c>
      <c r="Y87" s="499">
        <f>+AVERAGE(Y88:Y90)</f>
        <v>0.25</v>
      </c>
      <c r="Z87" s="564">
        <f>+Y87+((Z89-Y89)/3)+((Z90-Y90)/3)</f>
        <v>0.33333333333333331</v>
      </c>
      <c r="AA87" s="499">
        <f>+(AA88+AA89+AA90)*E87</f>
        <v>1.2500000000000001E-2</v>
      </c>
      <c r="AB87" s="556">
        <f>+(AB88+AB89+AB90)</f>
        <v>0.1875</v>
      </c>
      <c r="AC87" s="201"/>
      <c r="AD87" s="450"/>
      <c r="AE87" s="450"/>
      <c r="AF87" s="450"/>
      <c r="AG87" s="450"/>
      <c r="AH87" s="450"/>
      <c r="AI87" s="225"/>
      <c r="AJ87" s="180"/>
    </row>
    <row r="88" spans="1:36" ht="126" customHeight="1" thickBot="1" x14ac:dyDescent="0.4">
      <c r="A88" s="301"/>
      <c r="B88" s="1195" t="s">
        <v>153</v>
      </c>
      <c r="C88" s="1195" t="s">
        <v>154</v>
      </c>
      <c r="D88" s="452" t="s">
        <v>12</v>
      </c>
      <c r="E88" s="352">
        <v>0.5</v>
      </c>
      <c r="F88" s="480">
        <v>1</v>
      </c>
      <c r="G88" s="481">
        <v>0</v>
      </c>
      <c r="H88" s="482">
        <v>0</v>
      </c>
      <c r="I88" s="483"/>
      <c r="J88" s="486"/>
      <c r="K88" s="483"/>
      <c r="L88" s="486"/>
      <c r="M88" s="481"/>
      <c r="N88" s="546"/>
      <c r="O88" s="542"/>
      <c r="P88" s="542"/>
      <c r="Q88" s="542"/>
      <c r="R88" s="542"/>
      <c r="S88" s="482">
        <f>+N88+O88+P88+Q88+R88</f>
        <v>0</v>
      </c>
      <c r="T88" s="482">
        <f t="shared" ref="T88" si="74">+S88+M88</f>
        <v>0</v>
      </c>
      <c r="U88" s="483"/>
      <c r="V88" s="486"/>
      <c r="W88" s="483"/>
      <c r="X88" s="486"/>
      <c r="Y88" s="503"/>
      <c r="Z88" s="565">
        <v>0</v>
      </c>
      <c r="AA88" s="503">
        <v>0</v>
      </c>
      <c r="AB88" s="504">
        <v>0</v>
      </c>
      <c r="AC88" s="208" t="s">
        <v>1850</v>
      </c>
      <c r="AD88" s="642" t="s">
        <v>1893</v>
      </c>
      <c r="AE88" s="759" t="s">
        <v>2272</v>
      </c>
      <c r="AF88" s="759" t="s">
        <v>2294</v>
      </c>
      <c r="AG88" s="759" t="s">
        <v>2411</v>
      </c>
      <c r="AH88" s="759" t="s">
        <v>2445</v>
      </c>
      <c r="AI88" s="759" t="s">
        <v>2558</v>
      </c>
      <c r="AJ88" s="180"/>
    </row>
    <row r="89" spans="1:36" ht="71.400000000000006" customHeight="1" thickBot="1" x14ac:dyDescent="0.4">
      <c r="A89" s="301"/>
      <c r="B89" s="1195" t="s">
        <v>155</v>
      </c>
      <c r="C89" s="1195" t="s">
        <v>156</v>
      </c>
      <c r="D89" s="452" t="s">
        <v>12</v>
      </c>
      <c r="E89" s="352">
        <v>0.25</v>
      </c>
      <c r="F89" s="480">
        <v>600</v>
      </c>
      <c r="G89" s="481">
        <v>150</v>
      </c>
      <c r="H89" s="482">
        <v>150</v>
      </c>
      <c r="I89" s="483">
        <f>+G89/F89</f>
        <v>0.25</v>
      </c>
      <c r="J89" s="486">
        <f t="shared" si="52"/>
        <v>0.25</v>
      </c>
      <c r="K89" s="483">
        <f>+(G89/F89)*E89</f>
        <v>6.25E-2</v>
      </c>
      <c r="L89" s="486">
        <f t="shared" si="30"/>
        <v>6.25E-2</v>
      </c>
      <c r="M89" s="481">
        <v>150</v>
      </c>
      <c r="N89" s="546">
        <v>150</v>
      </c>
      <c r="O89" s="542">
        <v>0</v>
      </c>
      <c r="P89" s="542">
        <v>0</v>
      </c>
      <c r="Q89" s="542">
        <v>0</v>
      </c>
      <c r="R89" s="542">
        <v>0</v>
      </c>
      <c r="S89" s="482">
        <f t="shared" ref="S89:S90" si="75">+N89+O89+P89+Q89+R89</f>
        <v>150</v>
      </c>
      <c r="T89" s="482">
        <f t="shared" ref="T89:T90" si="76">+S89+M89</f>
        <v>300</v>
      </c>
      <c r="U89" s="483">
        <f>+(M89/G89)</f>
        <v>1</v>
      </c>
      <c r="V89" s="486">
        <f t="shared" si="72"/>
        <v>1</v>
      </c>
      <c r="W89" s="483">
        <f>+U89*E89</f>
        <v>0.25</v>
      </c>
      <c r="X89" s="486">
        <f t="shared" si="39"/>
        <v>0.25</v>
      </c>
      <c r="Y89" s="503">
        <f>+M89/F89</f>
        <v>0.25</v>
      </c>
      <c r="Z89" s="504">
        <f t="shared" si="73"/>
        <v>0.5</v>
      </c>
      <c r="AA89" s="503">
        <f>+Y89*E89</f>
        <v>6.25E-2</v>
      </c>
      <c r="AB89" s="504">
        <f>+Z89*E89</f>
        <v>0.125</v>
      </c>
      <c r="AC89" s="208" t="s">
        <v>1850</v>
      </c>
      <c r="AD89" s="642" t="s">
        <v>1893</v>
      </c>
      <c r="AE89" s="759" t="s">
        <v>2272</v>
      </c>
      <c r="AF89" s="759" t="s">
        <v>2294</v>
      </c>
      <c r="AG89" s="759" t="s">
        <v>2411</v>
      </c>
      <c r="AH89" s="759" t="s">
        <v>2445</v>
      </c>
      <c r="AI89" s="759" t="s">
        <v>2558</v>
      </c>
      <c r="AJ89" s="180"/>
    </row>
    <row r="90" spans="1:36" ht="96.6" customHeight="1" thickBot="1" x14ac:dyDescent="0.4">
      <c r="A90" s="301"/>
      <c r="B90" s="1204" t="s">
        <v>157</v>
      </c>
      <c r="C90" s="1204" t="s">
        <v>158</v>
      </c>
      <c r="D90" s="452" t="s">
        <v>12</v>
      </c>
      <c r="E90" s="352">
        <v>0.25</v>
      </c>
      <c r="F90" s="480">
        <v>4</v>
      </c>
      <c r="G90" s="481">
        <v>1</v>
      </c>
      <c r="H90" s="482">
        <v>1</v>
      </c>
      <c r="I90" s="483">
        <f>+G90/F90</f>
        <v>0.25</v>
      </c>
      <c r="J90" s="486">
        <f t="shared" si="52"/>
        <v>0.25</v>
      </c>
      <c r="K90" s="483">
        <f>+(G90/F90)*E90</f>
        <v>6.25E-2</v>
      </c>
      <c r="L90" s="486">
        <f t="shared" si="30"/>
        <v>6.25E-2</v>
      </c>
      <c r="M90" s="481">
        <v>1</v>
      </c>
      <c r="N90" s="546">
        <v>0</v>
      </c>
      <c r="O90" s="542">
        <v>0</v>
      </c>
      <c r="P90" s="542">
        <v>0</v>
      </c>
      <c r="Q90" s="542">
        <v>0</v>
      </c>
      <c r="R90" s="542">
        <v>0</v>
      </c>
      <c r="S90" s="482">
        <f t="shared" si="75"/>
        <v>0</v>
      </c>
      <c r="T90" s="482">
        <f t="shared" si="76"/>
        <v>1</v>
      </c>
      <c r="U90" s="483">
        <f>+(M90/G90)</f>
        <v>1</v>
      </c>
      <c r="V90" s="486">
        <f t="shared" si="72"/>
        <v>0</v>
      </c>
      <c r="W90" s="483">
        <f>+U90*E90</f>
        <v>0.25</v>
      </c>
      <c r="X90" s="486">
        <f>+V90*E90</f>
        <v>0</v>
      </c>
      <c r="Y90" s="503">
        <f>+M90/F90</f>
        <v>0.25</v>
      </c>
      <c r="Z90" s="504">
        <f t="shared" si="73"/>
        <v>0.25</v>
      </c>
      <c r="AA90" s="503">
        <f>+Y90*E90</f>
        <v>6.25E-2</v>
      </c>
      <c r="AB90" s="504">
        <f>+Z90*E90</f>
        <v>6.25E-2</v>
      </c>
      <c r="AC90" s="208" t="s">
        <v>1850</v>
      </c>
      <c r="AD90" s="642" t="s">
        <v>1893</v>
      </c>
      <c r="AE90" s="759" t="s">
        <v>2272</v>
      </c>
      <c r="AF90" s="759" t="s">
        <v>2294</v>
      </c>
      <c r="AG90" s="759" t="s">
        <v>2411</v>
      </c>
      <c r="AH90" s="759" t="s">
        <v>2445</v>
      </c>
      <c r="AI90" s="759" t="s">
        <v>2558</v>
      </c>
      <c r="AJ90" s="180"/>
    </row>
    <row r="91" spans="1:36" ht="93" customHeight="1" thickBot="1" x14ac:dyDescent="0.45">
      <c r="A91" s="301"/>
      <c r="B91" s="1301" t="s">
        <v>159</v>
      </c>
      <c r="C91" s="1299"/>
      <c r="D91" s="449"/>
      <c r="E91" s="488">
        <v>0.3</v>
      </c>
      <c r="F91" s="488">
        <f>+E91*W91</f>
        <v>0.22781794835632452</v>
      </c>
      <c r="G91" s="479"/>
      <c r="H91" s="488">
        <f>E91*X91</f>
        <v>0.21399592479434595</v>
      </c>
      <c r="I91" s="473">
        <f>+(I92+I99+I102+I105+I125)/5</f>
        <v>0.23229102167182664</v>
      </c>
      <c r="J91" s="473">
        <f>+(J92+J99+J102+J105+J125)/5</f>
        <v>0.33879772961816307</v>
      </c>
      <c r="K91" s="474">
        <f>+(K92+K99+K102+K105+K125)/5</f>
        <v>0.15700735294117646</v>
      </c>
      <c r="L91" s="474">
        <f>+(L92+L99+L102+L105+L125)/5</f>
        <v>0.37183088235294115</v>
      </c>
      <c r="M91" s="479"/>
      <c r="N91" s="485"/>
      <c r="O91" s="485"/>
      <c r="P91" s="485"/>
      <c r="Q91" s="485"/>
      <c r="R91" s="1200"/>
      <c r="S91" s="485"/>
      <c r="T91" s="485"/>
      <c r="U91" s="473">
        <f>+(U92+U99+U102+U105+U125)/5</f>
        <v>0.97477263894508703</v>
      </c>
      <c r="V91" s="473">
        <f>+(V92+V99+V102+V105+V125)/5</f>
        <v>0.88713331914538984</v>
      </c>
      <c r="W91" s="474">
        <f>+W92+W99+W102+W105+W125</f>
        <v>0.75939316118774847</v>
      </c>
      <c r="X91" s="474">
        <f>+X92+X99+X102+X105+X125</f>
        <v>0.7133197493144865</v>
      </c>
      <c r="Y91" s="559">
        <f>+(Y92+Y99+Y102+Y105+Y125)/5</f>
        <v>0.20515575037857808</v>
      </c>
      <c r="Z91" s="555">
        <f>+(Z92+Z99+Z102+Z105+Z125)/5</f>
        <v>0.43842939618684557</v>
      </c>
      <c r="AA91" s="554">
        <f>+AA92+AA99+AA102+AA105+AA125</f>
        <v>0.19010083782604881</v>
      </c>
      <c r="AB91" s="674">
        <f>+(AB92*E92)+(AB99*E99)+(AB102*E102)+(AB105*E105)+(AB125*E125)</f>
        <v>0.40754170935687423</v>
      </c>
      <c r="AC91" s="193"/>
      <c r="AD91" s="450"/>
      <c r="AE91" s="450"/>
      <c r="AF91" s="450"/>
      <c r="AG91" s="450"/>
      <c r="AH91" s="450"/>
      <c r="AI91" s="225"/>
      <c r="AJ91" s="180"/>
    </row>
    <row r="92" spans="1:36" ht="57" customHeight="1" thickBot="1" x14ac:dyDescent="0.45">
      <c r="A92" s="301"/>
      <c r="B92" s="1300" t="s">
        <v>1606</v>
      </c>
      <c r="C92" s="1299"/>
      <c r="D92" s="451"/>
      <c r="E92" s="476">
        <v>0.35</v>
      </c>
      <c r="F92" s="479"/>
      <c r="G92" s="479"/>
      <c r="H92" s="485"/>
      <c r="I92" s="478">
        <f>+AVERAGE(I93:I98)</f>
        <v>0.25</v>
      </c>
      <c r="J92" s="478">
        <f>+AVERAGE(J93:J98)</f>
        <v>0.29166666666666669</v>
      </c>
      <c r="K92" s="478">
        <f>+K93+K94+K95+K96+K97+K98</f>
        <v>0.16250000000000003</v>
      </c>
      <c r="L92" s="478">
        <f>+L93+L94+L95+L96+L97+L98</f>
        <v>0.33750000000000002</v>
      </c>
      <c r="M92" s="479"/>
      <c r="N92" s="485"/>
      <c r="O92" s="485"/>
      <c r="P92" s="485"/>
      <c r="Q92" s="485"/>
      <c r="R92" s="1200"/>
      <c r="S92" s="485"/>
      <c r="T92" s="485"/>
      <c r="U92" s="544">
        <f>+AVERAGE(U93:U98)</f>
        <v>0.96129032258064517</v>
      </c>
      <c r="V92" s="544">
        <f>+AVERAGE(V93:V98)</f>
        <v>0.86536666666666673</v>
      </c>
      <c r="W92" s="544">
        <f>+(W93+W94+W95+W96+W97)*E92</f>
        <v>0.22411290322580646</v>
      </c>
      <c r="X92" s="544">
        <f>+(X93+X94+X95+X96+X97)*E92</f>
        <v>0.22722700000000004</v>
      </c>
      <c r="Y92" s="499">
        <f>+AVERAGE(Y93:Y98)</f>
        <v>0.21293498207199635</v>
      </c>
      <c r="Z92" s="556">
        <f>+AVERAGE(Z93:Z98)</f>
        <v>0.47128507167773109</v>
      </c>
      <c r="AA92" s="499">
        <f>+(AA93+AA94+AA95+AA96+AA97+AA98)*E92</f>
        <v>5.944380429531565E-2</v>
      </c>
      <c r="AB92" s="556">
        <f>+(AB93+AB94+AB95+AB96+AB97+AB98)</f>
        <v>0.34224696772547941</v>
      </c>
      <c r="AC92" s="670"/>
      <c r="AD92" s="450"/>
      <c r="AE92" s="450"/>
      <c r="AF92" s="450"/>
      <c r="AG92" s="450"/>
      <c r="AH92" s="450"/>
      <c r="AI92" s="225"/>
      <c r="AJ92" s="180"/>
    </row>
    <row r="93" spans="1:36" ht="151.94999999999999" customHeight="1" thickBot="1" x14ac:dyDescent="0.4">
      <c r="A93" s="301"/>
      <c r="B93" s="1195" t="s">
        <v>160</v>
      </c>
      <c r="C93" s="1195" t="s">
        <v>161</v>
      </c>
      <c r="D93" s="452" t="s">
        <v>162</v>
      </c>
      <c r="E93" s="352">
        <v>0.4</v>
      </c>
      <c r="F93" s="480">
        <v>2718220</v>
      </c>
      <c r="G93" s="481">
        <v>679555</v>
      </c>
      <c r="H93" s="481">
        <v>679555</v>
      </c>
      <c r="I93" s="483">
        <f>+G93/F93</f>
        <v>0.25</v>
      </c>
      <c r="J93" s="486">
        <f t="shared" ref="J93:J101" si="77">+H93/F93</f>
        <v>0.25</v>
      </c>
      <c r="K93" s="483">
        <f>+(G93/F93)*E93</f>
        <v>0.1</v>
      </c>
      <c r="L93" s="486">
        <f t="shared" ref="L93:L124" si="78">+(H93/F93)*E93</f>
        <v>0.1</v>
      </c>
      <c r="M93" s="481">
        <v>699118</v>
      </c>
      <c r="N93" s="630"/>
      <c r="O93" s="542">
        <v>702671</v>
      </c>
      <c r="P93" s="542">
        <v>701127</v>
      </c>
      <c r="Q93" s="542">
        <v>697927</v>
      </c>
      <c r="R93" s="542">
        <v>700269</v>
      </c>
      <c r="S93" s="482">
        <f>+N93+O93+P93+Q93+R93</f>
        <v>2801994</v>
      </c>
      <c r="T93" s="482">
        <f>+S93+M93</f>
        <v>3501112</v>
      </c>
      <c r="U93" s="535">
        <v>1</v>
      </c>
      <c r="V93" s="923">
        <v>1</v>
      </c>
      <c r="W93" s="535">
        <f>+U93*E93</f>
        <v>0.4</v>
      </c>
      <c r="X93" s="520">
        <f>+V93*E93</f>
        <v>0.4</v>
      </c>
      <c r="Y93" s="560">
        <f>+M93/F93</f>
        <v>0.25719698920617168</v>
      </c>
      <c r="Z93" s="561">
        <f>+Y93+25%</f>
        <v>0.50719698920617162</v>
      </c>
      <c r="AA93" s="503">
        <f>+Y93*E93</f>
        <v>0.10287879568246867</v>
      </c>
      <c r="AB93" s="504">
        <f>+Z93*E93</f>
        <v>0.20287879568246867</v>
      </c>
      <c r="AC93" s="671" t="s">
        <v>1850</v>
      </c>
      <c r="AD93" s="642" t="s">
        <v>1891</v>
      </c>
      <c r="AE93" s="759" t="s">
        <v>2272</v>
      </c>
      <c r="AF93" s="759" t="s">
        <v>2294</v>
      </c>
      <c r="AG93" s="759" t="s">
        <v>2411</v>
      </c>
      <c r="AH93" s="759" t="s">
        <v>2445</v>
      </c>
      <c r="AI93" s="759" t="s">
        <v>2558</v>
      </c>
      <c r="AJ93" s="180"/>
    </row>
    <row r="94" spans="1:36" ht="93" customHeight="1" thickBot="1" x14ac:dyDescent="0.4">
      <c r="A94" s="301"/>
      <c r="B94" s="1195" t="s">
        <v>163</v>
      </c>
      <c r="C94" s="1195" t="s">
        <v>164</v>
      </c>
      <c r="D94" s="452" t="s">
        <v>162</v>
      </c>
      <c r="E94" s="352">
        <v>0.1</v>
      </c>
      <c r="F94" s="480">
        <v>20000</v>
      </c>
      <c r="G94" s="481">
        <v>5000</v>
      </c>
      <c r="H94" s="481">
        <v>5000</v>
      </c>
      <c r="I94" s="483">
        <f>+G94/F94</f>
        <v>0.25</v>
      </c>
      <c r="J94" s="486">
        <f t="shared" si="77"/>
        <v>0.25</v>
      </c>
      <c r="K94" s="483">
        <f>+(G94/F94)*E94</f>
        <v>2.5000000000000001E-2</v>
      </c>
      <c r="L94" s="486">
        <f t="shared" si="78"/>
        <v>2.5000000000000001E-2</v>
      </c>
      <c r="M94" s="481">
        <v>6376</v>
      </c>
      <c r="N94" s="630">
        <v>1509</v>
      </c>
      <c r="O94" s="542">
        <v>1044</v>
      </c>
      <c r="P94" s="542">
        <v>667</v>
      </c>
      <c r="Q94" s="542">
        <v>374</v>
      </c>
      <c r="R94" s="542">
        <f>1741-Q94</f>
        <v>1367</v>
      </c>
      <c r="S94" s="482">
        <f t="shared" ref="S94:S98" si="79">+N94+O94+P94+Q94+R94</f>
        <v>4961</v>
      </c>
      <c r="T94" s="482">
        <f>+S94+M94</f>
        <v>11337</v>
      </c>
      <c r="U94" s="535">
        <v>1</v>
      </c>
      <c r="V94" s="923">
        <f>+S94/H94</f>
        <v>0.99219999999999997</v>
      </c>
      <c r="W94" s="535">
        <f>+U94*E94</f>
        <v>0.1</v>
      </c>
      <c r="X94" s="520">
        <f t="shared" ref="X94:X97" si="80">+V94*E94</f>
        <v>9.9220000000000003E-2</v>
      </c>
      <c r="Y94" s="560">
        <f>+M94/F94</f>
        <v>0.31879999999999997</v>
      </c>
      <c r="Z94" s="561">
        <f t="shared" ref="Z94:Z98" si="81">+T94/F94</f>
        <v>0.56684999999999997</v>
      </c>
      <c r="AA94" s="503">
        <f>+Y94*E94</f>
        <v>3.1879999999999999E-2</v>
      </c>
      <c r="AB94" s="504">
        <f>+Z94*E94</f>
        <v>5.6684999999999999E-2</v>
      </c>
      <c r="AC94" s="671" t="s">
        <v>1850</v>
      </c>
      <c r="AD94" s="642" t="s">
        <v>1891</v>
      </c>
      <c r="AE94" s="759" t="s">
        <v>2272</v>
      </c>
      <c r="AF94" s="759" t="s">
        <v>2294</v>
      </c>
      <c r="AG94" s="759" t="s">
        <v>2411</v>
      </c>
      <c r="AH94" s="759" t="s">
        <v>2445</v>
      </c>
      <c r="AI94" s="759" t="s">
        <v>2558</v>
      </c>
      <c r="AJ94" s="180"/>
    </row>
    <row r="95" spans="1:36" ht="73.2" customHeight="1" thickBot="1" x14ac:dyDescent="0.4">
      <c r="A95" s="301"/>
      <c r="B95" s="1204" t="s">
        <v>165</v>
      </c>
      <c r="C95" s="1204" t="s">
        <v>166</v>
      </c>
      <c r="D95" s="452" t="s">
        <v>162</v>
      </c>
      <c r="E95" s="352">
        <v>0.05</v>
      </c>
      <c r="F95" s="480">
        <v>568</v>
      </c>
      <c r="G95" s="481">
        <v>142</v>
      </c>
      <c r="H95" s="481">
        <v>142</v>
      </c>
      <c r="I95" s="483">
        <f>+G95/F95</f>
        <v>0.25</v>
      </c>
      <c r="J95" s="486">
        <f t="shared" si="77"/>
        <v>0.25</v>
      </c>
      <c r="K95" s="483">
        <f>+(G95/F95)*E95</f>
        <v>1.2500000000000001E-2</v>
      </c>
      <c r="L95" s="486">
        <f t="shared" si="78"/>
        <v>1.2500000000000001E-2</v>
      </c>
      <c r="M95" s="481">
        <v>142</v>
      </c>
      <c r="N95" s="630"/>
      <c r="O95" s="542">
        <v>142</v>
      </c>
      <c r="P95" s="542">
        <v>0</v>
      </c>
      <c r="Q95" s="542">
        <v>0</v>
      </c>
      <c r="R95" s="542">
        <v>0</v>
      </c>
      <c r="S95" s="482">
        <f>+N95+O95+P95+Q95+R95</f>
        <v>142</v>
      </c>
      <c r="T95" s="482">
        <f t="shared" ref="T95:T98" si="82">+S95+M95</f>
        <v>284</v>
      </c>
      <c r="U95" s="535">
        <f>+(M95/G95)</f>
        <v>1</v>
      </c>
      <c r="V95" s="923">
        <v>1</v>
      </c>
      <c r="W95" s="535">
        <f>+U95*E95</f>
        <v>0.05</v>
      </c>
      <c r="X95" s="520">
        <f t="shared" si="80"/>
        <v>0.05</v>
      </c>
      <c r="Y95" s="560">
        <f>+M95/F95</f>
        <v>0.25</v>
      </c>
      <c r="Z95" s="561">
        <f>+Y95+6.25%+6.25%+6.25%+3.12%+3.12%</f>
        <v>0.49990000000000001</v>
      </c>
      <c r="AA95" s="503">
        <f>+Y95*E95</f>
        <v>1.2500000000000001E-2</v>
      </c>
      <c r="AB95" s="504">
        <f>+Z95*E95</f>
        <v>2.4995000000000003E-2</v>
      </c>
      <c r="AC95" s="671" t="s">
        <v>1850</v>
      </c>
      <c r="AD95" s="642" t="s">
        <v>1891</v>
      </c>
      <c r="AE95" s="759" t="s">
        <v>2272</v>
      </c>
      <c r="AF95" s="759" t="s">
        <v>2294</v>
      </c>
      <c r="AG95" s="759" t="s">
        <v>2411</v>
      </c>
      <c r="AH95" s="759" t="s">
        <v>2445</v>
      </c>
      <c r="AI95" s="759" t="s">
        <v>2558</v>
      </c>
      <c r="AJ95" s="180"/>
    </row>
    <row r="96" spans="1:36" ht="70.2" customHeight="1" thickBot="1" x14ac:dyDescent="0.4">
      <c r="A96" s="301"/>
      <c r="B96" s="1195" t="s">
        <v>167</v>
      </c>
      <c r="C96" s="1195" t="s">
        <v>168</v>
      </c>
      <c r="D96" s="452" t="s">
        <v>162</v>
      </c>
      <c r="E96" s="352">
        <v>0.05</v>
      </c>
      <c r="F96" s="480">
        <v>248</v>
      </c>
      <c r="G96" s="481">
        <v>62</v>
      </c>
      <c r="H96" s="481">
        <v>62</v>
      </c>
      <c r="I96" s="483">
        <f>+G96/F96</f>
        <v>0.25</v>
      </c>
      <c r="J96" s="486">
        <f t="shared" si="77"/>
        <v>0.25</v>
      </c>
      <c r="K96" s="483">
        <f>+(G96/F96)*E96</f>
        <v>1.2500000000000001E-2</v>
      </c>
      <c r="L96" s="486">
        <f t="shared" si="78"/>
        <v>1.2500000000000001E-2</v>
      </c>
      <c r="M96" s="481">
        <v>50</v>
      </c>
      <c r="N96" s="630">
        <v>31</v>
      </c>
      <c r="O96" s="542">
        <v>13</v>
      </c>
      <c r="P96" s="542">
        <v>14</v>
      </c>
      <c r="Q96" s="542">
        <v>0</v>
      </c>
      <c r="R96" s="542">
        <v>50</v>
      </c>
      <c r="S96" s="482">
        <f t="shared" si="79"/>
        <v>108</v>
      </c>
      <c r="T96" s="482">
        <f t="shared" si="82"/>
        <v>158</v>
      </c>
      <c r="U96" s="535">
        <f>+(M96/G96)</f>
        <v>0.80645161290322576</v>
      </c>
      <c r="V96" s="520">
        <v>1</v>
      </c>
      <c r="W96" s="535">
        <f>+U96*E96</f>
        <v>4.0322580645161289E-2</v>
      </c>
      <c r="X96" s="520">
        <f t="shared" si="80"/>
        <v>0.05</v>
      </c>
      <c r="Y96" s="560">
        <f>+M96/F96</f>
        <v>0.20161290322580644</v>
      </c>
      <c r="Z96" s="561">
        <f t="shared" si="81"/>
        <v>0.63709677419354838</v>
      </c>
      <c r="AA96" s="503">
        <f>+Y96*E96</f>
        <v>1.0080645161290322E-2</v>
      </c>
      <c r="AB96" s="504">
        <f>+Z96*E96</f>
        <v>3.1854838709677417E-2</v>
      </c>
      <c r="AC96" s="671" t="s">
        <v>1850</v>
      </c>
      <c r="AD96" s="756" t="s">
        <v>1892</v>
      </c>
      <c r="AE96" s="759" t="s">
        <v>2272</v>
      </c>
      <c r="AF96" s="759" t="s">
        <v>2294</v>
      </c>
      <c r="AG96" s="759" t="s">
        <v>2411</v>
      </c>
      <c r="AH96" s="759" t="s">
        <v>2445</v>
      </c>
      <c r="AI96" s="759" t="s">
        <v>2558</v>
      </c>
      <c r="AJ96" s="180"/>
    </row>
    <row r="97" spans="1:36" ht="177" customHeight="1" thickBot="1" x14ac:dyDescent="0.4">
      <c r="A97" s="301"/>
      <c r="B97" s="1195" t="s">
        <v>169</v>
      </c>
      <c r="C97" s="1195" t="s">
        <v>170</v>
      </c>
      <c r="D97" s="452" t="s">
        <v>162</v>
      </c>
      <c r="E97" s="352">
        <v>0.05</v>
      </c>
      <c r="F97" s="480">
        <v>60</v>
      </c>
      <c r="G97" s="481">
        <v>15</v>
      </c>
      <c r="H97" s="481">
        <v>15</v>
      </c>
      <c r="I97" s="483">
        <f>+G97/F97</f>
        <v>0.25</v>
      </c>
      <c r="J97" s="486">
        <f t="shared" si="77"/>
        <v>0.25</v>
      </c>
      <c r="K97" s="483">
        <f>+(G97/F97)*E97</f>
        <v>1.2500000000000001E-2</v>
      </c>
      <c r="L97" s="486">
        <f t="shared" si="78"/>
        <v>1.2500000000000001E-2</v>
      </c>
      <c r="M97" s="481">
        <v>15</v>
      </c>
      <c r="N97" s="630">
        <v>0</v>
      </c>
      <c r="O97" s="542">
        <v>8</v>
      </c>
      <c r="P97" s="542">
        <v>8</v>
      </c>
      <c r="Q97" s="542">
        <v>0</v>
      </c>
      <c r="R97" s="542">
        <v>0</v>
      </c>
      <c r="S97" s="482">
        <f>+N97+O97+P97+Q97+R97</f>
        <v>16</v>
      </c>
      <c r="T97" s="482">
        <f t="shared" si="82"/>
        <v>31</v>
      </c>
      <c r="U97" s="535">
        <f>+(M97/G97)</f>
        <v>1</v>
      </c>
      <c r="V97" s="520">
        <v>1</v>
      </c>
      <c r="W97" s="535">
        <f>+U97*E97</f>
        <v>0.05</v>
      </c>
      <c r="X97" s="520">
        <f t="shared" si="80"/>
        <v>0.05</v>
      </c>
      <c r="Y97" s="560">
        <f>+M97/F97</f>
        <v>0.25</v>
      </c>
      <c r="Z97" s="561">
        <f t="shared" si="81"/>
        <v>0.51666666666666672</v>
      </c>
      <c r="AA97" s="503">
        <f>+Y97*E97</f>
        <v>1.2500000000000001E-2</v>
      </c>
      <c r="AB97" s="504">
        <f>+Z97*E97</f>
        <v>2.5833333333333337E-2</v>
      </c>
      <c r="AC97" s="671" t="s">
        <v>1850</v>
      </c>
      <c r="AD97" s="759" t="s">
        <v>1892</v>
      </c>
      <c r="AE97" s="759" t="s">
        <v>2272</v>
      </c>
      <c r="AF97" s="759" t="s">
        <v>2294</v>
      </c>
      <c r="AG97" s="759" t="s">
        <v>2411</v>
      </c>
      <c r="AH97" s="759" t="s">
        <v>2445</v>
      </c>
      <c r="AI97" s="759" t="s">
        <v>2558</v>
      </c>
      <c r="AJ97" s="180"/>
    </row>
    <row r="98" spans="1:36" ht="90.6" customHeight="1" thickBot="1" x14ac:dyDescent="0.4">
      <c r="A98" s="301"/>
      <c r="B98" s="1195" t="s">
        <v>171</v>
      </c>
      <c r="C98" s="1195" t="s">
        <v>172</v>
      </c>
      <c r="D98" s="452" t="s">
        <v>173</v>
      </c>
      <c r="E98" s="352">
        <v>0.35</v>
      </c>
      <c r="F98" s="480">
        <v>2</v>
      </c>
      <c r="G98" s="481">
        <v>0</v>
      </c>
      <c r="H98" s="481">
        <v>1</v>
      </c>
      <c r="I98" s="483"/>
      <c r="J98" s="486">
        <f t="shared" si="77"/>
        <v>0.5</v>
      </c>
      <c r="K98" s="483"/>
      <c r="L98" s="486">
        <f t="shared" si="78"/>
        <v>0.17499999999999999</v>
      </c>
      <c r="M98" s="481"/>
      <c r="N98" s="630">
        <v>0</v>
      </c>
      <c r="O98" s="542"/>
      <c r="P98" s="542">
        <v>0</v>
      </c>
      <c r="Q98" s="542">
        <v>0.2</v>
      </c>
      <c r="R98" s="542">
        <v>0</v>
      </c>
      <c r="S98" s="482">
        <f t="shared" si="79"/>
        <v>0.2</v>
      </c>
      <c r="T98" s="482">
        <f t="shared" si="82"/>
        <v>0.2</v>
      </c>
      <c r="U98" s="535"/>
      <c r="V98" s="520">
        <f t="shared" ref="V98" si="83">+S98/H98</f>
        <v>0.2</v>
      </c>
      <c r="W98" s="535"/>
      <c r="X98" s="520">
        <f>+V98*E98</f>
        <v>6.9999999999999993E-2</v>
      </c>
      <c r="Y98" s="921">
        <v>0</v>
      </c>
      <c r="Z98" s="562">
        <f t="shared" si="81"/>
        <v>0.1</v>
      </c>
      <c r="AA98" s="503">
        <v>0</v>
      </c>
      <c r="AB98" s="504">
        <v>0</v>
      </c>
      <c r="AC98" s="671" t="s">
        <v>1850</v>
      </c>
      <c r="AD98" s="757" t="s">
        <v>1892</v>
      </c>
      <c r="AE98" s="759" t="s">
        <v>2272</v>
      </c>
      <c r="AF98" s="759" t="s">
        <v>2294</v>
      </c>
      <c r="AG98" s="759" t="s">
        <v>2411</v>
      </c>
      <c r="AH98" s="759" t="s">
        <v>2445</v>
      </c>
      <c r="AI98" s="759" t="s">
        <v>2558</v>
      </c>
      <c r="AJ98" s="180"/>
    </row>
    <row r="99" spans="1:36" ht="42.75" customHeight="1" thickBot="1" x14ac:dyDescent="0.45">
      <c r="A99" s="301"/>
      <c r="B99" s="1300" t="s">
        <v>1607</v>
      </c>
      <c r="C99" s="1299"/>
      <c r="D99" s="451"/>
      <c r="E99" s="476">
        <v>0.1</v>
      </c>
      <c r="F99" s="479"/>
      <c r="G99" s="527"/>
      <c r="H99" s="527"/>
      <c r="I99" s="478">
        <f>+AVERAGE(I100:I101)</f>
        <v>0.17499999999999999</v>
      </c>
      <c r="J99" s="478">
        <f>+AVERAGE(J100:J101)</f>
        <v>0.27500000000000002</v>
      </c>
      <c r="K99" s="478">
        <f>+K100+K101</f>
        <v>0.19</v>
      </c>
      <c r="L99" s="478">
        <f>+L100+L101</f>
        <v>0.27</v>
      </c>
      <c r="M99" s="479"/>
      <c r="N99" s="485"/>
      <c r="O99" s="485"/>
      <c r="P99" s="485"/>
      <c r="Q99" s="485"/>
      <c r="R99" s="1200"/>
      <c r="S99" s="485"/>
      <c r="T99" s="485"/>
      <c r="U99" s="544">
        <f>+AVERAGE(U100:U101)</f>
        <v>1</v>
      </c>
      <c r="V99" s="544">
        <f>+AVERAGE(V100:V101)</f>
        <v>1</v>
      </c>
      <c r="W99" s="544">
        <f>+(W100+W101)*E99</f>
        <v>0.1</v>
      </c>
      <c r="X99" s="563">
        <f>+(X100+X101)*E99</f>
        <v>0.1</v>
      </c>
      <c r="Y99" s="564">
        <f>+AVERAGE(Y100:Y101)</f>
        <v>0.19831666666666667</v>
      </c>
      <c r="Z99" s="564">
        <f>+AVERAGE(Z100:Z101)</f>
        <v>0.50011666666666665</v>
      </c>
      <c r="AA99" s="499">
        <f>+(AA100+AA101)*E99</f>
        <v>2.1048000000000001E-2</v>
      </c>
      <c r="AB99" s="556">
        <f>+(AB100+AB101)</f>
        <v>0.50266000000000011</v>
      </c>
      <c r="AC99" s="201"/>
      <c r="AD99" s="450"/>
      <c r="AE99" s="910"/>
      <c r="AF99" s="450"/>
      <c r="AG99" s="450"/>
      <c r="AH99" s="450"/>
      <c r="AI99" s="225"/>
      <c r="AJ99" s="180"/>
    </row>
    <row r="100" spans="1:36" ht="123" customHeight="1" thickBot="1" x14ac:dyDescent="0.4">
      <c r="A100" s="301"/>
      <c r="B100" s="1195" t="s">
        <v>174</v>
      </c>
      <c r="C100" s="1195" t="s">
        <v>175</v>
      </c>
      <c r="D100" s="452" t="s">
        <v>162</v>
      </c>
      <c r="E100" s="352">
        <v>0.4</v>
      </c>
      <c r="F100" s="631">
        <v>10000</v>
      </c>
      <c r="G100" s="528">
        <v>1000</v>
      </c>
      <c r="H100" s="633">
        <v>3000</v>
      </c>
      <c r="I100" s="483">
        <f>+G100/F100</f>
        <v>0.1</v>
      </c>
      <c r="J100" s="486">
        <f t="shared" si="77"/>
        <v>0.3</v>
      </c>
      <c r="K100" s="483">
        <f>+(G100/F100)*E100</f>
        <v>4.0000000000000008E-2</v>
      </c>
      <c r="L100" s="486">
        <f t="shared" si="78"/>
        <v>0.12</v>
      </c>
      <c r="M100" s="481">
        <v>1375</v>
      </c>
      <c r="N100" s="630">
        <v>0</v>
      </c>
      <c r="O100" s="542">
        <v>0</v>
      </c>
      <c r="P100" s="542">
        <v>2101</v>
      </c>
      <c r="Q100" s="542">
        <v>777</v>
      </c>
      <c r="R100" s="542">
        <v>621</v>
      </c>
      <c r="S100" s="482">
        <f>+N100+O100+P100+Q100+R100</f>
        <v>3499</v>
      </c>
      <c r="T100" s="482">
        <f t="shared" ref="T100:T101" si="84">+S100+M100</f>
        <v>4874</v>
      </c>
      <c r="U100" s="535">
        <v>1</v>
      </c>
      <c r="V100" s="520">
        <v>1</v>
      </c>
      <c r="W100" s="535">
        <f>+U100*E100</f>
        <v>0.4</v>
      </c>
      <c r="X100" s="520">
        <f>+V100*E100</f>
        <v>0.4</v>
      </c>
      <c r="Y100" s="1019">
        <f>+M100/F100</f>
        <v>0.13750000000000001</v>
      </c>
      <c r="Z100" s="567">
        <f>+T100/F100</f>
        <v>0.4874</v>
      </c>
      <c r="AA100" s="560">
        <f>+Y100*E100</f>
        <v>5.5000000000000007E-2</v>
      </c>
      <c r="AB100" s="561">
        <f>+Z100*E100</f>
        <v>0.19496000000000002</v>
      </c>
      <c r="AC100" s="208" t="s">
        <v>1850</v>
      </c>
      <c r="AD100" s="658" t="s">
        <v>1892</v>
      </c>
      <c r="AE100" s="759" t="s">
        <v>2272</v>
      </c>
      <c r="AF100" s="759" t="s">
        <v>2294</v>
      </c>
      <c r="AG100" s="759" t="s">
        <v>2411</v>
      </c>
      <c r="AH100" s="759" t="s">
        <v>2445</v>
      </c>
      <c r="AI100" s="759" t="s">
        <v>2558</v>
      </c>
      <c r="AJ100" s="180"/>
    </row>
    <row r="101" spans="1:36" ht="178.2" customHeight="1" thickBot="1" x14ac:dyDescent="0.4">
      <c r="A101" s="301"/>
      <c r="B101" s="1195" t="s">
        <v>176</v>
      </c>
      <c r="C101" s="1195" t="s">
        <v>177</v>
      </c>
      <c r="D101" s="452" t="s">
        <v>162</v>
      </c>
      <c r="E101" s="352">
        <v>0.6</v>
      </c>
      <c r="F101" s="480">
        <v>30000</v>
      </c>
      <c r="G101" s="632">
        <v>7500</v>
      </c>
      <c r="H101" s="634">
        <v>7500</v>
      </c>
      <c r="I101" s="483">
        <f>+G101/F101</f>
        <v>0.25</v>
      </c>
      <c r="J101" s="486">
        <f t="shared" si="77"/>
        <v>0.25</v>
      </c>
      <c r="K101" s="483">
        <f>+(G101/F101)*E101</f>
        <v>0.15</v>
      </c>
      <c r="L101" s="486">
        <f t="shared" si="78"/>
        <v>0.15</v>
      </c>
      <c r="M101" s="481">
        <v>7774</v>
      </c>
      <c r="N101" s="630">
        <v>934</v>
      </c>
      <c r="O101" s="542">
        <v>823</v>
      </c>
      <c r="P101" s="542">
        <v>3251</v>
      </c>
      <c r="Q101" s="542">
        <v>2117</v>
      </c>
      <c r="R101" s="542">
        <v>486</v>
      </c>
      <c r="S101" s="482">
        <f>+N101+O101+P101+Q101+R101</f>
        <v>7611</v>
      </c>
      <c r="T101" s="482">
        <f t="shared" si="84"/>
        <v>15385</v>
      </c>
      <c r="U101" s="535">
        <v>1</v>
      </c>
      <c r="V101" s="520">
        <v>1</v>
      </c>
      <c r="W101" s="535">
        <f>+U101*E101</f>
        <v>0.6</v>
      </c>
      <c r="X101" s="520">
        <f>+V101*E101</f>
        <v>0.6</v>
      </c>
      <c r="Y101" s="560">
        <f>+M101/F101</f>
        <v>0.25913333333333333</v>
      </c>
      <c r="Z101" s="562">
        <f>+T101/F101</f>
        <v>0.51283333333333336</v>
      </c>
      <c r="AA101" s="560">
        <f>+Y101*E101</f>
        <v>0.15547999999999998</v>
      </c>
      <c r="AB101" s="561">
        <f>+Z101*E101</f>
        <v>0.30770000000000003</v>
      </c>
      <c r="AC101" s="208" t="s">
        <v>1850</v>
      </c>
      <c r="AD101" s="658" t="s">
        <v>1892</v>
      </c>
      <c r="AE101" s="759" t="s">
        <v>2272</v>
      </c>
      <c r="AF101" s="759" t="s">
        <v>2294</v>
      </c>
      <c r="AG101" s="759" t="s">
        <v>2411</v>
      </c>
      <c r="AH101" s="759" t="s">
        <v>2445</v>
      </c>
      <c r="AI101" s="759" t="s">
        <v>2558</v>
      </c>
      <c r="AJ101" s="180"/>
    </row>
    <row r="102" spans="1:36" ht="110.4" customHeight="1" thickBot="1" x14ac:dyDescent="0.45">
      <c r="A102" s="301"/>
      <c r="B102" s="1300" t="s">
        <v>1608</v>
      </c>
      <c r="C102" s="1299"/>
      <c r="D102" s="452"/>
      <c r="E102" s="476">
        <v>0.1</v>
      </c>
      <c r="F102" s="479"/>
      <c r="G102" s="479"/>
      <c r="H102" s="525"/>
      <c r="I102" s="478">
        <f>+AVERAGE(I103:I104)</f>
        <v>0.25</v>
      </c>
      <c r="J102" s="478">
        <f>+AVERAGE(J103:J104)</f>
        <v>0.625</v>
      </c>
      <c r="K102" s="478">
        <f>+K103+K104</f>
        <v>0.05</v>
      </c>
      <c r="L102" s="478">
        <f>+L103+L104</f>
        <v>0.85000000000000009</v>
      </c>
      <c r="M102" s="479"/>
      <c r="N102" s="485"/>
      <c r="O102" s="485"/>
      <c r="P102" s="485"/>
      <c r="Q102" s="485"/>
      <c r="R102" s="1200"/>
      <c r="S102" s="485"/>
      <c r="T102" s="485"/>
      <c r="U102" s="544">
        <f>+AVERAGE(U103:U104)</f>
        <v>0.93103448275862066</v>
      </c>
      <c r="V102" s="544">
        <f>+AVERAGE(V103:V104)</f>
        <v>0.625</v>
      </c>
      <c r="W102" s="544">
        <f>+(W103+W104)*E102</f>
        <v>1.8620689655172416E-2</v>
      </c>
      <c r="X102" s="544">
        <f>+(X103+X104)*E102</f>
        <v>4.0000000000000008E-2</v>
      </c>
      <c r="Y102" s="499">
        <f>+AVERAGE(Y103:Y104)</f>
        <v>0.11637931034482758</v>
      </c>
      <c r="Z102" s="564">
        <f>+AVERAGE(Z103:Z104)</f>
        <v>0.36637931034482762</v>
      </c>
      <c r="AA102" s="499">
        <f>+(AA103+AA104)*E102</f>
        <v>4.6551724137931039E-3</v>
      </c>
      <c r="AB102" s="556">
        <f>+(AB103+AB104)</f>
        <v>9.6551724137931047E-2</v>
      </c>
      <c r="AC102" s="201"/>
      <c r="AD102" s="450"/>
      <c r="AE102" s="448"/>
      <c r="AF102" s="450"/>
      <c r="AG102" s="450"/>
      <c r="AH102" s="450"/>
      <c r="AI102" s="225"/>
      <c r="AJ102" s="180"/>
    </row>
    <row r="103" spans="1:36" ht="167.4" customHeight="1" thickBot="1" x14ac:dyDescent="0.4">
      <c r="A103" s="301"/>
      <c r="B103" s="1195" t="s">
        <v>178</v>
      </c>
      <c r="C103" s="1195" t="s">
        <v>179</v>
      </c>
      <c r="D103" s="452" t="s">
        <v>162</v>
      </c>
      <c r="E103" s="352">
        <v>0.2</v>
      </c>
      <c r="F103" s="480">
        <v>116</v>
      </c>
      <c r="G103" s="481">
        <v>29</v>
      </c>
      <c r="H103" s="481">
        <v>29</v>
      </c>
      <c r="I103" s="483">
        <f>+G103/F103</f>
        <v>0.25</v>
      </c>
      <c r="J103" s="483">
        <f>+H103/F103</f>
        <v>0.25</v>
      </c>
      <c r="K103" s="529">
        <f>+(G103/F103)*E103</f>
        <v>0.05</v>
      </c>
      <c r="L103" s="530">
        <f>+(H103/F103)*E103</f>
        <v>0.05</v>
      </c>
      <c r="M103" s="481">
        <v>27</v>
      </c>
      <c r="N103" s="546">
        <v>10</v>
      </c>
      <c r="O103" s="542">
        <v>17</v>
      </c>
      <c r="P103" s="542">
        <v>2</v>
      </c>
      <c r="Q103" s="542">
        <v>0</v>
      </c>
      <c r="R103" s="542">
        <v>0</v>
      </c>
      <c r="S103" s="482">
        <f>+N103+O103+P103+Q103+R103</f>
        <v>29</v>
      </c>
      <c r="T103" s="482">
        <f t="shared" ref="T103" si="85">+S103+M103</f>
        <v>56</v>
      </c>
      <c r="U103" s="535">
        <f>+(M103/G103)</f>
        <v>0.93103448275862066</v>
      </c>
      <c r="V103" s="520">
        <v>1</v>
      </c>
      <c r="W103" s="535">
        <f>+U103*E103</f>
        <v>0.18620689655172415</v>
      </c>
      <c r="X103" s="520">
        <f t="shared" ref="X103" si="86">+V103*E103</f>
        <v>0.2</v>
      </c>
      <c r="Y103" s="560">
        <f>+M103/F103</f>
        <v>0.23275862068965517</v>
      </c>
      <c r="Z103" s="567">
        <f>+T103/F103</f>
        <v>0.48275862068965519</v>
      </c>
      <c r="AA103" s="560">
        <f>+Y103*E103</f>
        <v>4.6551724137931037E-2</v>
      </c>
      <c r="AB103" s="561">
        <f>+Z103*E103</f>
        <v>9.6551724137931047E-2</v>
      </c>
      <c r="AC103" s="208" t="s">
        <v>1850</v>
      </c>
      <c r="AD103" s="759" t="s">
        <v>1892</v>
      </c>
      <c r="AE103" s="759" t="s">
        <v>2272</v>
      </c>
      <c r="AF103" s="759" t="s">
        <v>2294</v>
      </c>
      <c r="AG103" s="759" t="s">
        <v>2411</v>
      </c>
      <c r="AH103" s="759" t="s">
        <v>2445</v>
      </c>
      <c r="AI103" s="759" t="s">
        <v>2558</v>
      </c>
      <c r="AJ103" s="180"/>
    </row>
    <row r="104" spans="1:36" ht="72" customHeight="1" thickBot="1" x14ac:dyDescent="0.4">
      <c r="A104" s="301"/>
      <c r="B104" s="1195" t="s">
        <v>180</v>
      </c>
      <c r="C104" s="1195" t="s">
        <v>181</v>
      </c>
      <c r="D104" s="452" t="s">
        <v>162</v>
      </c>
      <c r="E104" s="352">
        <v>0.8</v>
      </c>
      <c r="F104" s="480">
        <v>1</v>
      </c>
      <c r="G104" s="481">
        <v>0</v>
      </c>
      <c r="H104" s="481">
        <v>1</v>
      </c>
      <c r="I104" s="483"/>
      <c r="J104" s="483">
        <f>+H104/F104</f>
        <v>1</v>
      </c>
      <c r="K104" s="529"/>
      <c r="L104" s="530">
        <f t="shared" si="78"/>
        <v>0.8</v>
      </c>
      <c r="M104" s="481"/>
      <c r="N104" s="546">
        <v>0</v>
      </c>
      <c r="O104" s="542">
        <v>0</v>
      </c>
      <c r="P104" s="542">
        <v>0</v>
      </c>
      <c r="Q104" s="542">
        <v>0.25</v>
      </c>
      <c r="R104" s="542">
        <v>0</v>
      </c>
      <c r="S104" s="482">
        <f>+N104+O104+P104+Q104+R104</f>
        <v>0.25</v>
      </c>
      <c r="T104" s="482">
        <f>+S104+M104</f>
        <v>0.25</v>
      </c>
      <c r="U104" s="535"/>
      <c r="V104" s="520">
        <f>+S104/H104</f>
        <v>0.25</v>
      </c>
      <c r="W104" s="535"/>
      <c r="X104" s="520">
        <f>+V104*E104</f>
        <v>0.2</v>
      </c>
      <c r="Y104" s="560">
        <v>0</v>
      </c>
      <c r="Z104" s="562">
        <f t="shared" ref="Z104:Z124" si="87">+T104/F104</f>
        <v>0.25</v>
      </c>
      <c r="AA104" s="560">
        <v>0</v>
      </c>
      <c r="AB104" s="561">
        <v>0</v>
      </c>
      <c r="AC104" s="208" t="s">
        <v>1850</v>
      </c>
      <c r="AD104" s="759" t="s">
        <v>1892</v>
      </c>
      <c r="AE104" s="759" t="s">
        <v>2272</v>
      </c>
      <c r="AF104" s="759" t="s">
        <v>2294</v>
      </c>
      <c r="AG104" s="759" t="s">
        <v>2411</v>
      </c>
      <c r="AH104" s="759" t="s">
        <v>2445</v>
      </c>
      <c r="AI104" s="759" t="s">
        <v>2558</v>
      </c>
      <c r="AJ104" s="180"/>
    </row>
    <row r="105" spans="1:36" ht="56.25" customHeight="1" thickBot="1" x14ac:dyDescent="0.45">
      <c r="A105" s="301"/>
      <c r="B105" s="1300" t="s">
        <v>1609</v>
      </c>
      <c r="C105" s="1299"/>
      <c r="D105" s="452"/>
      <c r="E105" s="476">
        <v>0.4</v>
      </c>
      <c r="F105" s="479"/>
      <c r="G105" s="481"/>
      <c r="H105" s="482"/>
      <c r="I105" s="478">
        <f>+AVERAGE(I106:I124)</f>
        <v>0.23645510835913311</v>
      </c>
      <c r="J105" s="478">
        <f>+AVERAGE(J106:J124)</f>
        <v>0.25232198142414858</v>
      </c>
      <c r="K105" s="478">
        <f>+K106+K107+K108+K109+K110+K111+K112+K113+K114+K115+K116+K117+K118+K119+K120+K121+K122+K123+K124</f>
        <v>0.2325367647058823</v>
      </c>
      <c r="L105" s="478">
        <f>+L106+L107+L108+L109+L110+L111+L112+L113+L114+L115+L116+L117+L118+L119+L120+L121+L122+L123+L124</f>
        <v>0.25165441176470582</v>
      </c>
      <c r="M105" s="479"/>
      <c r="N105" s="485"/>
      <c r="O105" s="485"/>
      <c r="P105" s="485"/>
      <c r="Q105" s="485"/>
      <c r="R105" s="1200"/>
      <c r="S105" s="485"/>
      <c r="T105" s="485"/>
      <c r="U105" s="544">
        <f>+AVERAGE(U106:U124)</f>
        <v>0.98153838938616911</v>
      </c>
      <c r="V105" s="544">
        <f>+AVERAGE(V106:V124)</f>
        <v>0.94529992906028248</v>
      </c>
      <c r="W105" s="544">
        <f>+(W106+W107+W108+W109+W110+W111+W112+W113+W114+W115+W116+W117+W118+W119+W120+W121+W122+W123+W124)*E105</f>
        <v>0.38665956830676951</v>
      </c>
      <c r="X105" s="544">
        <f>+(X106+X107+X108+X109+X110+X111+X112+X113+X114+X115+X116+X117+X118+X119+X120+X121+X122+X123+X124)*E105</f>
        <v>0.34609274931448647</v>
      </c>
      <c r="Y105" s="499">
        <f>+AVERAGE(Y106:Y124)</f>
        <v>0.24814779280939966</v>
      </c>
      <c r="Z105" s="564">
        <f>+AVERAGE(Z106:Z124)</f>
        <v>0.54186593224500235</v>
      </c>
      <c r="AA105" s="499">
        <f>+(AA106+AA107+AA108+AA109+AA110+AA111+AA112+AA113+AA114+AA115+AA116+AA117+AA118+AA119+AA120+AA121+AA122+AA123+AA124)*E105</f>
        <v>9.7453861116940044E-2</v>
      </c>
      <c r="AB105" s="556">
        <f>+(AB106+AB107+AB108+AB109+AB110+AB111+AB112+AB113+AB114+AB115+AB116+AB117+AB118+AB119+AB120+AB121+AB122+AB123+AB124)</f>
        <v>0.53208524559790826</v>
      </c>
      <c r="AC105" s="201"/>
      <c r="AD105" s="761"/>
      <c r="AE105" s="450"/>
      <c r="AF105" s="450"/>
      <c r="AG105" s="450"/>
      <c r="AH105" s="450"/>
      <c r="AI105" s="225"/>
      <c r="AJ105" s="180"/>
    </row>
    <row r="106" spans="1:36" ht="137.4" customHeight="1" thickBot="1" x14ac:dyDescent="0.4">
      <c r="A106" s="301"/>
      <c r="B106" s="1195" t="s">
        <v>182</v>
      </c>
      <c r="C106" s="1195" t="s">
        <v>183</v>
      </c>
      <c r="D106" s="452" t="s">
        <v>162</v>
      </c>
      <c r="E106" s="531">
        <v>3.7499999999999999E-2</v>
      </c>
      <c r="F106" s="480">
        <v>4</v>
      </c>
      <c r="G106" s="481">
        <v>1</v>
      </c>
      <c r="H106" s="482">
        <v>1</v>
      </c>
      <c r="I106" s="483">
        <f t="shared" ref="I106:I124" si="88">+G106/F106</f>
        <v>0.25</v>
      </c>
      <c r="J106" s="486">
        <f>+H106/F106</f>
        <v>0.25</v>
      </c>
      <c r="K106" s="529">
        <f t="shared" ref="K106:K124" si="89">+(G106/F106)*E106</f>
        <v>9.3749999999999997E-3</v>
      </c>
      <c r="L106" s="530">
        <f t="shared" si="78"/>
        <v>9.3749999999999997E-3</v>
      </c>
      <c r="M106" s="481">
        <v>1</v>
      </c>
      <c r="N106" s="546">
        <v>0</v>
      </c>
      <c r="O106" s="542">
        <v>0</v>
      </c>
      <c r="P106" s="542">
        <v>0.65</v>
      </c>
      <c r="Q106" s="542">
        <v>0.17</v>
      </c>
      <c r="R106" s="542">
        <v>0.17999999999999997</v>
      </c>
      <c r="S106" s="482">
        <f>+N106+O106+P106+Q106+R106</f>
        <v>1</v>
      </c>
      <c r="T106" s="482">
        <f t="shared" ref="T106:T124" si="90">+S106+M106</f>
        <v>2</v>
      </c>
      <c r="U106" s="535">
        <f t="shared" ref="U106:U123" si="91">+(M106/G106)</f>
        <v>1</v>
      </c>
      <c r="V106" s="520">
        <f t="shared" ref="V106:V119" si="92">+S106/H106</f>
        <v>1</v>
      </c>
      <c r="W106" s="535">
        <f t="shared" ref="W106:W123" si="93">+U106*E106</f>
        <v>3.7499999999999999E-2</v>
      </c>
      <c r="X106" s="520">
        <f t="shared" ref="X106:X127" si="94">+V106*E106</f>
        <v>3.7499999999999999E-2</v>
      </c>
      <c r="Y106" s="560">
        <f t="shared" ref="Y106:Y124" si="95">+M106/F106</f>
        <v>0.25</v>
      </c>
      <c r="Z106" s="567">
        <f t="shared" si="87"/>
        <v>0.5</v>
      </c>
      <c r="AA106" s="560">
        <f t="shared" ref="AA106:AA123" si="96">+Y106*E106</f>
        <v>9.3749999999999997E-3</v>
      </c>
      <c r="AB106" s="561">
        <f t="shared" ref="AB106:AB124" si="97">+Z106*E106</f>
        <v>1.8749999999999999E-2</v>
      </c>
      <c r="AC106" s="208" t="s">
        <v>1850</v>
      </c>
      <c r="AD106" s="759" t="s">
        <v>1892</v>
      </c>
      <c r="AE106" s="759" t="s">
        <v>2272</v>
      </c>
      <c r="AF106" s="759" t="s">
        <v>2294</v>
      </c>
      <c r="AG106" s="759" t="s">
        <v>2411</v>
      </c>
      <c r="AH106" s="759" t="s">
        <v>2445</v>
      </c>
      <c r="AI106" s="759" t="s">
        <v>2558</v>
      </c>
      <c r="AJ106" s="180"/>
    </row>
    <row r="107" spans="1:36" ht="79.2" customHeight="1" thickBot="1" x14ac:dyDescent="0.4">
      <c r="A107" s="301"/>
      <c r="B107" s="1195" t="s">
        <v>184</v>
      </c>
      <c r="C107" s="1195" t="s">
        <v>185</v>
      </c>
      <c r="D107" s="452" t="s">
        <v>162</v>
      </c>
      <c r="E107" s="531">
        <v>3.7499999999999999E-2</v>
      </c>
      <c r="F107" s="480">
        <f>700*4</f>
        <v>2800</v>
      </c>
      <c r="G107" s="481">
        <v>700</v>
      </c>
      <c r="H107" s="482">
        <v>700</v>
      </c>
      <c r="I107" s="483">
        <f t="shared" si="88"/>
        <v>0.25</v>
      </c>
      <c r="J107" s="486">
        <f t="shared" ref="J107:J124" si="98">+H107/F107</f>
        <v>0.25</v>
      </c>
      <c r="K107" s="529">
        <f t="shared" si="89"/>
        <v>9.3749999999999997E-3</v>
      </c>
      <c r="L107" s="530">
        <f t="shared" si="78"/>
        <v>9.3749999999999997E-3</v>
      </c>
      <c r="M107" s="481">
        <v>700</v>
      </c>
      <c r="N107" s="546">
        <v>20</v>
      </c>
      <c r="O107" s="542">
        <v>166</v>
      </c>
      <c r="P107" s="542">
        <v>200</v>
      </c>
      <c r="Q107" s="542">
        <v>186</v>
      </c>
      <c r="R107" s="542">
        <v>128</v>
      </c>
      <c r="S107" s="482">
        <f t="shared" ref="S107:S124" si="99">+N107+O107+P107+Q107+R107</f>
        <v>700</v>
      </c>
      <c r="T107" s="482">
        <f t="shared" si="90"/>
        <v>1400</v>
      </c>
      <c r="U107" s="535">
        <f t="shared" si="91"/>
        <v>1</v>
      </c>
      <c r="V107" s="520">
        <f t="shared" si="92"/>
        <v>1</v>
      </c>
      <c r="W107" s="535">
        <f t="shared" si="93"/>
        <v>3.7499999999999999E-2</v>
      </c>
      <c r="X107" s="520">
        <f t="shared" si="94"/>
        <v>3.7499999999999999E-2</v>
      </c>
      <c r="Y107" s="560">
        <f t="shared" si="95"/>
        <v>0.25</v>
      </c>
      <c r="Z107" s="561">
        <f t="shared" si="87"/>
        <v>0.5</v>
      </c>
      <c r="AA107" s="560">
        <f t="shared" si="96"/>
        <v>9.3749999999999997E-3</v>
      </c>
      <c r="AB107" s="561">
        <f t="shared" si="97"/>
        <v>1.8749999999999999E-2</v>
      </c>
      <c r="AC107" s="208" t="s">
        <v>1850</v>
      </c>
      <c r="AD107" s="759" t="s">
        <v>1892</v>
      </c>
      <c r="AE107" s="759" t="s">
        <v>2272</v>
      </c>
      <c r="AF107" s="759" t="s">
        <v>2294</v>
      </c>
      <c r="AG107" s="759" t="s">
        <v>2411</v>
      </c>
      <c r="AH107" s="759" t="s">
        <v>2445</v>
      </c>
      <c r="AI107" s="759" t="s">
        <v>2558</v>
      </c>
      <c r="AJ107" s="180"/>
    </row>
    <row r="108" spans="1:36" ht="103.2" customHeight="1" thickBot="1" x14ac:dyDescent="0.4">
      <c r="A108" s="301"/>
      <c r="B108" s="1195" t="s">
        <v>186</v>
      </c>
      <c r="C108" s="1195" t="s">
        <v>187</v>
      </c>
      <c r="D108" s="452" t="s">
        <v>162</v>
      </c>
      <c r="E108" s="531">
        <v>3.7499999999999999E-2</v>
      </c>
      <c r="F108" s="480">
        <f>2100*4</f>
        <v>8400</v>
      </c>
      <c r="G108" s="481">
        <v>2100</v>
      </c>
      <c r="H108" s="482">
        <v>2100</v>
      </c>
      <c r="I108" s="483">
        <f t="shared" si="88"/>
        <v>0.25</v>
      </c>
      <c r="J108" s="486">
        <f t="shared" si="98"/>
        <v>0.25</v>
      </c>
      <c r="K108" s="529">
        <f t="shared" si="89"/>
        <v>9.3749999999999997E-3</v>
      </c>
      <c r="L108" s="530">
        <f t="shared" si="78"/>
        <v>9.3749999999999997E-3</v>
      </c>
      <c r="M108" s="481">
        <v>1955</v>
      </c>
      <c r="N108" s="546">
        <v>7</v>
      </c>
      <c r="O108" s="542">
        <v>797</v>
      </c>
      <c r="P108" s="542">
        <v>600</v>
      </c>
      <c r="Q108" s="542">
        <v>573</v>
      </c>
      <c r="R108" s="542">
        <v>361</v>
      </c>
      <c r="S108" s="482">
        <f t="shared" si="99"/>
        <v>2338</v>
      </c>
      <c r="T108" s="482">
        <f t="shared" si="90"/>
        <v>4293</v>
      </c>
      <c r="U108" s="535">
        <f t="shared" si="91"/>
        <v>0.93095238095238098</v>
      </c>
      <c r="V108" s="520">
        <v>1</v>
      </c>
      <c r="W108" s="535">
        <f t="shared" si="93"/>
        <v>3.4910714285714288E-2</v>
      </c>
      <c r="X108" s="520">
        <f t="shared" si="94"/>
        <v>3.7499999999999999E-2</v>
      </c>
      <c r="Y108" s="560">
        <f t="shared" si="95"/>
        <v>0.23273809523809524</v>
      </c>
      <c r="Z108" s="561">
        <f t="shared" si="87"/>
        <v>0.51107142857142862</v>
      </c>
      <c r="AA108" s="560">
        <f t="shared" si="96"/>
        <v>8.727678571428572E-3</v>
      </c>
      <c r="AB108" s="561">
        <f t="shared" si="97"/>
        <v>1.9165178571428573E-2</v>
      </c>
      <c r="AC108" s="208" t="s">
        <v>1850</v>
      </c>
      <c r="AD108" s="759" t="s">
        <v>1892</v>
      </c>
      <c r="AE108" s="759" t="s">
        <v>2272</v>
      </c>
      <c r="AF108" s="759" t="s">
        <v>2294</v>
      </c>
      <c r="AG108" s="759" t="s">
        <v>2411</v>
      </c>
      <c r="AH108" s="759" t="s">
        <v>2445</v>
      </c>
      <c r="AI108" s="759" t="s">
        <v>2558</v>
      </c>
      <c r="AJ108" s="180"/>
    </row>
    <row r="109" spans="1:36" ht="113.4" customHeight="1" thickBot="1" x14ac:dyDescent="0.4">
      <c r="A109" s="301"/>
      <c r="B109" s="1195" t="s">
        <v>188</v>
      </c>
      <c r="C109" s="1195" t="s">
        <v>189</v>
      </c>
      <c r="D109" s="452" t="s">
        <v>162</v>
      </c>
      <c r="E109" s="531">
        <v>3.7499999999999999E-2</v>
      </c>
      <c r="F109" s="480">
        <f>7600*4</f>
        <v>30400</v>
      </c>
      <c r="G109" s="481">
        <v>7600</v>
      </c>
      <c r="H109" s="482">
        <v>7600</v>
      </c>
      <c r="I109" s="483">
        <f t="shared" si="88"/>
        <v>0.25</v>
      </c>
      <c r="J109" s="486">
        <f t="shared" si="98"/>
        <v>0.25</v>
      </c>
      <c r="K109" s="529">
        <f t="shared" si="89"/>
        <v>9.3749999999999997E-3</v>
      </c>
      <c r="L109" s="530">
        <f t="shared" si="78"/>
        <v>9.3749999999999997E-3</v>
      </c>
      <c r="M109" s="481">
        <v>11360</v>
      </c>
      <c r="N109" s="546">
        <v>2784</v>
      </c>
      <c r="O109" s="542">
        <v>2278</v>
      </c>
      <c r="P109" s="542">
        <v>2278</v>
      </c>
      <c r="Q109" s="542">
        <v>937</v>
      </c>
      <c r="R109" s="542">
        <v>1737</v>
      </c>
      <c r="S109" s="482">
        <f t="shared" si="99"/>
        <v>10014</v>
      </c>
      <c r="T109" s="482">
        <f t="shared" si="90"/>
        <v>21374</v>
      </c>
      <c r="U109" s="535">
        <v>1</v>
      </c>
      <c r="V109" s="520">
        <v>1</v>
      </c>
      <c r="W109" s="535">
        <f t="shared" si="93"/>
        <v>3.7499999999999999E-2</v>
      </c>
      <c r="X109" s="520">
        <f t="shared" si="94"/>
        <v>3.7499999999999999E-2</v>
      </c>
      <c r="Y109" s="560">
        <f>+M109/F109</f>
        <v>0.37368421052631579</v>
      </c>
      <c r="Z109" s="561">
        <f t="shared" si="87"/>
        <v>0.70309210526315791</v>
      </c>
      <c r="AA109" s="560">
        <f t="shared" si="96"/>
        <v>1.4013157894736842E-2</v>
      </c>
      <c r="AB109" s="561">
        <f t="shared" si="97"/>
        <v>2.6365953947368421E-2</v>
      </c>
      <c r="AC109" s="208" t="s">
        <v>1850</v>
      </c>
      <c r="AD109" s="759" t="s">
        <v>1892</v>
      </c>
      <c r="AE109" s="759" t="s">
        <v>2272</v>
      </c>
      <c r="AF109" s="759" t="s">
        <v>2294</v>
      </c>
      <c r="AG109" s="759" t="s">
        <v>2411</v>
      </c>
      <c r="AH109" s="759" t="s">
        <v>2445</v>
      </c>
      <c r="AI109" s="759" t="s">
        <v>2558</v>
      </c>
      <c r="AJ109" s="180"/>
    </row>
    <row r="110" spans="1:36" ht="113.4" customHeight="1" thickBot="1" x14ac:dyDescent="0.4">
      <c r="A110" s="301"/>
      <c r="B110" s="1195" t="s">
        <v>190</v>
      </c>
      <c r="C110" s="1195" t="s">
        <v>191</v>
      </c>
      <c r="D110" s="455" t="s">
        <v>162</v>
      </c>
      <c r="E110" s="531">
        <v>0.1</v>
      </c>
      <c r="F110" s="480">
        <f>90000*4</f>
        <v>360000</v>
      </c>
      <c r="G110" s="481">
        <v>90000</v>
      </c>
      <c r="H110" s="482">
        <v>90000</v>
      </c>
      <c r="I110" s="483">
        <f t="shared" si="88"/>
        <v>0.25</v>
      </c>
      <c r="J110" s="486">
        <f t="shared" si="98"/>
        <v>0.25</v>
      </c>
      <c r="K110" s="529">
        <f t="shared" si="89"/>
        <v>2.5000000000000001E-2</v>
      </c>
      <c r="L110" s="530">
        <f t="shared" si="78"/>
        <v>2.5000000000000001E-2</v>
      </c>
      <c r="M110" s="481">
        <v>90021</v>
      </c>
      <c r="N110" s="546">
        <v>391</v>
      </c>
      <c r="O110" s="542">
        <v>3310</v>
      </c>
      <c r="P110" s="542">
        <v>4147</v>
      </c>
      <c r="Q110" s="542">
        <v>750</v>
      </c>
      <c r="R110" s="542">
        <v>15828</v>
      </c>
      <c r="S110" s="482">
        <f t="shared" si="99"/>
        <v>24426</v>
      </c>
      <c r="T110" s="482">
        <f t="shared" si="90"/>
        <v>114447</v>
      </c>
      <c r="U110" s="535">
        <v>1</v>
      </c>
      <c r="V110" s="520">
        <f>+S110/H110</f>
        <v>0.27139999999999997</v>
      </c>
      <c r="W110" s="535">
        <f t="shared" si="93"/>
        <v>0.1</v>
      </c>
      <c r="X110" s="520">
        <f t="shared" si="94"/>
        <v>2.7139999999999997E-2</v>
      </c>
      <c r="Y110" s="560">
        <f t="shared" si="95"/>
        <v>0.25005833333333333</v>
      </c>
      <c r="Z110" s="561">
        <f t="shared" si="87"/>
        <v>0.31790833333333335</v>
      </c>
      <c r="AA110" s="560">
        <f t="shared" si="96"/>
        <v>2.5005833333333335E-2</v>
      </c>
      <c r="AB110" s="561">
        <f t="shared" si="97"/>
        <v>3.1790833333333338E-2</v>
      </c>
      <c r="AC110" s="208" t="s">
        <v>1850</v>
      </c>
      <c r="AD110" s="759" t="s">
        <v>1892</v>
      </c>
      <c r="AE110" s="759" t="s">
        <v>2272</v>
      </c>
      <c r="AF110" s="759" t="s">
        <v>2294</v>
      </c>
      <c r="AG110" s="759" t="s">
        <v>2411</v>
      </c>
      <c r="AH110" s="759" t="s">
        <v>2445</v>
      </c>
      <c r="AI110" s="759" t="s">
        <v>2558</v>
      </c>
      <c r="AJ110" s="180"/>
    </row>
    <row r="111" spans="1:36" ht="115.95" customHeight="1" thickBot="1" x14ac:dyDescent="0.4">
      <c r="A111" s="301"/>
      <c r="B111" s="1195" t="s">
        <v>192</v>
      </c>
      <c r="C111" s="1195" t="s">
        <v>193</v>
      </c>
      <c r="D111" s="452" t="s">
        <v>162</v>
      </c>
      <c r="E111" s="531">
        <v>3.7499999999999999E-2</v>
      </c>
      <c r="F111" s="480">
        <f>17*4</f>
        <v>68</v>
      </c>
      <c r="G111" s="481">
        <v>17</v>
      </c>
      <c r="H111" s="482">
        <v>17</v>
      </c>
      <c r="I111" s="483">
        <f t="shared" si="88"/>
        <v>0.25</v>
      </c>
      <c r="J111" s="486">
        <f t="shared" si="98"/>
        <v>0.25</v>
      </c>
      <c r="K111" s="529">
        <f t="shared" si="89"/>
        <v>9.3749999999999997E-3</v>
      </c>
      <c r="L111" s="530">
        <f t="shared" si="78"/>
        <v>9.3749999999999997E-3</v>
      </c>
      <c r="M111" s="532">
        <v>15</v>
      </c>
      <c r="N111" s="546">
        <v>3.75</v>
      </c>
      <c r="O111" s="1020">
        <v>11</v>
      </c>
      <c r="P111" s="1129">
        <v>0.25</v>
      </c>
      <c r="Q111" s="1020">
        <v>1</v>
      </c>
      <c r="R111" s="1020">
        <v>1</v>
      </c>
      <c r="S111" s="482">
        <f t="shared" si="99"/>
        <v>17</v>
      </c>
      <c r="T111" s="552">
        <f t="shared" si="90"/>
        <v>32</v>
      </c>
      <c r="U111" s="535">
        <f t="shared" ref="U111" si="100">+(M111/G111)</f>
        <v>0.88235294117647056</v>
      </c>
      <c r="V111" s="520">
        <f>+S111/H111</f>
        <v>1</v>
      </c>
      <c r="W111" s="535">
        <f t="shared" ref="W111" si="101">+U111*E111</f>
        <v>3.3088235294117647E-2</v>
      </c>
      <c r="X111" s="520">
        <f t="shared" si="94"/>
        <v>3.7499999999999999E-2</v>
      </c>
      <c r="Y111" s="560">
        <f t="shared" ref="Y111" si="102">+M111/F111</f>
        <v>0.22058823529411764</v>
      </c>
      <c r="Z111" s="561">
        <f t="shared" si="87"/>
        <v>0.47058823529411764</v>
      </c>
      <c r="AA111" s="560">
        <f t="shared" ref="AA111" si="103">+Y111*E111</f>
        <v>8.2720588235294119E-3</v>
      </c>
      <c r="AB111" s="561">
        <f t="shared" si="97"/>
        <v>1.7647058823529412E-2</v>
      </c>
      <c r="AC111" s="208" t="s">
        <v>1850</v>
      </c>
      <c r="AD111" s="759" t="s">
        <v>1892</v>
      </c>
      <c r="AE111" s="759" t="s">
        <v>2272</v>
      </c>
      <c r="AF111" s="759" t="s">
        <v>2294</v>
      </c>
      <c r="AG111" s="759" t="s">
        <v>2411</v>
      </c>
      <c r="AH111" s="759" t="s">
        <v>2445</v>
      </c>
      <c r="AI111" s="759" t="s">
        <v>2558</v>
      </c>
      <c r="AJ111" s="180"/>
    </row>
    <row r="112" spans="1:36" ht="152.4" customHeight="1" thickBot="1" x14ac:dyDescent="0.4">
      <c r="A112" s="301"/>
      <c r="B112" s="1195" t="s">
        <v>194</v>
      </c>
      <c r="C112" s="1195" t="s">
        <v>195</v>
      </c>
      <c r="D112" s="452" t="s">
        <v>162</v>
      </c>
      <c r="E112" s="531">
        <v>3.7499999999999999E-2</v>
      </c>
      <c r="F112" s="480">
        <f>250*4</f>
        <v>1000</v>
      </c>
      <c r="G112" s="481">
        <v>250</v>
      </c>
      <c r="H112" s="482">
        <v>250</v>
      </c>
      <c r="I112" s="483">
        <f t="shared" si="88"/>
        <v>0.25</v>
      </c>
      <c r="J112" s="486">
        <f t="shared" si="98"/>
        <v>0.25</v>
      </c>
      <c r="K112" s="529">
        <f>+(G112/F112)*E112</f>
        <v>9.3749999999999997E-3</v>
      </c>
      <c r="L112" s="530">
        <f t="shared" si="78"/>
        <v>9.3749999999999997E-3</v>
      </c>
      <c r="M112" s="481">
        <v>250</v>
      </c>
      <c r="N112" s="546">
        <v>0</v>
      </c>
      <c r="O112" s="542">
        <v>68</v>
      </c>
      <c r="P112" s="542">
        <v>121</v>
      </c>
      <c r="Q112" s="542">
        <v>50</v>
      </c>
      <c r="R112" s="542">
        <v>11</v>
      </c>
      <c r="S112" s="482">
        <f t="shared" si="99"/>
        <v>250</v>
      </c>
      <c r="T112" s="482">
        <f t="shared" si="90"/>
        <v>500</v>
      </c>
      <c r="U112" s="535">
        <f t="shared" si="91"/>
        <v>1</v>
      </c>
      <c r="V112" s="520">
        <f t="shared" si="92"/>
        <v>1</v>
      </c>
      <c r="W112" s="535">
        <f t="shared" si="93"/>
        <v>3.7499999999999999E-2</v>
      </c>
      <c r="X112" s="520">
        <f t="shared" si="94"/>
        <v>3.7499999999999999E-2</v>
      </c>
      <c r="Y112" s="560">
        <f t="shared" si="95"/>
        <v>0.25</v>
      </c>
      <c r="Z112" s="561">
        <f t="shared" si="87"/>
        <v>0.5</v>
      </c>
      <c r="AA112" s="560">
        <f t="shared" si="96"/>
        <v>9.3749999999999997E-3</v>
      </c>
      <c r="AB112" s="561">
        <f t="shared" si="97"/>
        <v>1.8749999999999999E-2</v>
      </c>
      <c r="AC112" s="208" t="s">
        <v>1850</v>
      </c>
      <c r="AD112" s="759" t="s">
        <v>1892</v>
      </c>
      <c r="AE112" s="759" t="s">
        <v>2272</v>
      </c>
      <c r="AF112" s="759" t="s">
        <v>2294</v>
      </c>
      <c r="AG112" s="759" t="s">
        <v>2411</v>
      </c>
      <c r="AH112" s="759" t="s">
        <v>2445</v>
      </c>
      <c r="AI112" s="759" t="s">
        <v>2558</v>
      </c>
      <c r="AJ112" s="180"/>
    </row>
    <row r="113" spans="1:36" ht="150" customHeight="1" thickBot="1" x14ac:dyDescent="0.4">
      <c r="A113" s="301"/>
      <c r="B113" s="1195" t="s">
        <v>196</v>
      </c>
      <c r="C113" s="1195" t="s">
        <v>197</v>
      </c>
      <c r="D113" s="452" t="s">
        <v>162</v>
      </c>
      <c r="E113" s="531">
        <v>3.7499999999999999E-2</v>
      </c>
      <c r="F113" s="480">
        <v>17</v>
      </c>
      <c r="G113" s="481">
        <v>2</v>
      </c>
      <c r="H113" s="482">
        <v>5</v>
      </c>
      <c r="I113" s="483">
        <f t="shared" si="88"/>
        <v>0.11764705882352941</v>
      </c>
      <c r="J113" s="486">
        <f t="shared" si="98"/>
        <v>0.29411764705882354</v>
      </c>
      <c r="K113" s="529">
        <f t="shared" si="89"/>
        <v>4.4117647058823529E-3</v>
      </c>
      <c r="L113" s="530">
        <f t="shared" si="78"/>
        <v>1.1029411764705883E-2</v>
      </c>
      <c r="M113" s="481">
        <v>2</v>
      </c>
      <c r="N113" s="546">
        <v>0</v>
      </c>
      <c r="O113" s="542">
        <v>2.5</v>
      </c>
      <c r="P113" s="542">
        <v>1.5</v>
      </c>
      <c r="Q113" s="542">
        <v>0</v>
      </c>
      <c r="R113" s="542">
        <v>1</v>
      </c>
      <c r="S113" s="482">
        <f t="shared" si="99"/>
        <v>5</v>
      </c>
      <c r="T113" s="482">
        <f t="shared" si="90"/>
        <v>7</v>
      </c>
      <c r="U113" s="535">
        <f t="shared" si="91"/>
        <v>1</v>
      </c>
      <c r="V113" s="520">
        <f t="shared" si="92"/>
        <v>1</v>
      </c>
      <c r="W113" s="535">
        <f t="shared" si="93"/>
        <v>3.7499999999999999E-2</v>
      </c>
      <c r="X113" s="520">
        <f t="shared" si="94"/>
        <v>3.7499999999999999E-2</v>
      </c>
      <c r="Y113" s="560">
        <f t="shared" si="95"/>
        <v>0.11764705882352941</v>
      </c>
      <c r="Z113" s="561">
        <f t="shared" si="87"/>
        <v>0.41176470588235292</v>
      </c>
      <c r="AA113" s="560">
        <f t="shared" si="96"/>
        <v>4.4117647058823529E-3</v>
      </c>
      <c r="AB113" s="561">
        <f t="shared" si="97"/>
        <v>1.5441176470588234E-2</v>
      </c>
      <c r="AC113" s="208" t="s">
        <v>1850</v>
      </c>
      <c r="AD113" s="759" t="s">
        <v>1892</v>
      </c>
      <c r="AE113" s="759" t="s">
        <v>2272</v>
      </c>
      <c r="AF113" s="759" t="s">
        <v>2294</v>
      </c>
      <c r="AG113" s="759" t="s">
        <v>2411</v>
      </c>
      <c r="AH113" s="759" t="s">
        <v>2445</v>
      </c>
      <c r="AI113" s="759" t="s">
        <v>2558</v>
      </c>
      <c r="AJ113" s="180"/>
    </row>
    <row r="114" spans="1:36" ht="164.4" customHeight="1" thickBot="1" x14ac:dyDescent="0.4">
      <c r="A114" s="301"/>
      <c r="B114" s="1195" t="s">
        <v>198</v>
      </c>
      <c r="C114" s="1195" t="s">
        <v>199</v>
      </c>
      <c r="D114" s="452" t="s">
        <v>162</v>
      </c>
      <c r="E114" s="531">
        <v>3.7499999999999999E-2</v>
      </c>
      <c r="F114" s="480">
        <v>160</v>
      </c>
      <c r="G114" s="481">
        <v>40</v>
      </c>
      <c r="H114" s="482">
        <v>40</v>
      </c>
      <c r="I114" s="483">
        <f t="shared" si="88"/>
        <v>0.25</v>
      </c>
      <c r="J114" s="486">
        <f t="shared" si="98"/>
        <v>0.25</v>
      </c>
      <c r="K114" s="529">
        <f t="shared" si="89"/>
        <v>9.3749999999999997E-3</v>
      </c>
      <c r="L114" s="530">
        <f t="shared" si="78"/>
        <v>9.3749999999999997E-3</v>
      </c>
      <c r="M114" s="481">
        <v>40</v>
      </c>
      <c r="N114" s="546">
        <v>0</v>
      </c>
      <c r="O114" s="542">
        <v>33</v>
      </c>
      <c r="P114" s="542">
        <v>18</v>
      </c>
      <c r="Q114" s="542">
        <v>18</v>
      </c>
      <c r="R114" s="542">
        <v>21</v>
      </c>
      <c r="S114" s="482">
        <f t="shared" si="99"/>
        <v>90</v>
      </c>
      <c r="T114" s="482">
        <f t="shared" si="90"/>
        <v>130</v>
      </c>
      <c r="U114" s="535">
        <v>1</v>
      </c>
      <c r="V114" s="520">
        <v>1</v>
      </c>
      <c r="W114" s="535">
        <f t="shared" si="93"/>
        <v>3.7499999999999999E-2</v>
      </c>
      <c r="X114" s="520">
        <f t="shared" si="94"/>
        <v>3.7499999999999999E-2</v>
      </c>
      <c r="Y114" s="560">
        <f t="shared" si="95"/>
        <v>0.25</v>
      </c>
      <c r="Z114" s="561">
        <f t="shared" si="87"/>
        <v>0.8125</v>
      </c>
      <c r="AA114" s="560">
        <f t="shared" si="96"/>
        <v>9.3749999999999997E-3</v>
      </c>
      <c r="AB114" s="561">
        <f t="shared" si="97"/>
        <v>3.0468749999999999E-2</v>
      </c>
      <c r="AC114" s="208" t="s">
        <v>1850</v>
      </c>
      <c r="AD114" s="759" t="s">
        <v>1892</v>
      </c>
      <c r="AE114" s="759" t="s">
        <v>2272</v>
      </c>
      <c r="AF114" s="759" t="s">
        <v>2294</v>
      </c>
      <c r="AG114" s="759" t="s">
        <v>2411</v>
      </c>
      <c r="AH114" s="759" t="s">
        <v>2445</v>
      </c>
      <c r="AI114" s="759" t="s">
        <v>2558</v>
      </c>
      <c r="AJ114" s="180"/>
    </row>
    <row r="115" spans="1:36" ht="80.400000000000006" customHeight="1" thickBot="1" x14ac:dyDescent="0.4">
      <c r="A115" s="301"/>
      <c r="B115" s="1195" t="s">
        <v>200</v>
      </c>
      <c r="C115" s="1195" t="s">
        <v>201</v>
      </c>
      <c r="D115" s="452" t="s">
        <v>162</v>
      </c>
      <c r="E115" s="531">
        <v>3.7499999999999999E-2</v>
      </c>
      <c r="F115" s="480">
        <v>14000</v>
      </c>
      <c r="G115" s="481">
        <v>3500</v>
      </c>
      <c r="H115" s="482">
        <v>3500</v>
      </c>
      <c r="I115" s="483">
        <f t="shared" si="88"/>
        <v>0.25</v>
      </c>
      <c r="J115" s="486">
        <f t="shared" si="98"/>
        <v>0.25</v>
      </c>
      <c r="K115" s="529">
        <f t="shared" si="89"/>
        <v>9.3749999999999997E-3</v>
      </c>
      <c r="L115" s="530">
        <f t="shared" si="78"/>
        <v>9.3749999999999997E-3</v>
      </c>
      <c r="M115" s="481">
        <v>3500</v>
      </c>
      <c r="N115" s="546">
        <v>650</v>
      </c>
      <c r="O115" s="542">
        <v>1058</v>
      </c>
      <c r="P115" s="542">
        <v>566</v>
      </c>
      <c r="Q115" s="542">
        <v>699</v>
      </c>
      <c r="R115" s="542">
        <v>527</v>
      </c>
      <c r="S115" s="482">
        <f t="shared" si="99"/>
        <v>3500</v>
      </c>
      <c r="T115" s="482">
        <f t="shared" si="90"/>
        <v>7000</v>
      </c>
      <c r="U115" s="535">
        <f t="shared" si="91"/>
        <v>1</v>
      </c>
      <c r="V115" s="520">
        <f t="shared" si="92"/>
        <v>1</v>
      </c>
      <c r="W115" s="535">
        <f t="shared" si="93"/>
        <v>3.7499999999999999E-2</v>
      </c>
      <c r="X115" s="520">
        <f t="shared" si="94"/>
        <v>3.7499999999999999E-2</v>
      </c>
      <c r="Y115" s="560">
        <f t="shared" si="95"/>
        <v>0.25</v>
      </c>
      <c r="Z115" s="561">
        <f t="shared" si="87"/>
        <v>0.5</v>
      </c>
      <c r="AA115" s="560">
        <f t="shared" si="96"/>
        <v>9.3749999999999997E-3</v>
      </c>
      <c r="AB115" s="561">
        <f t="shared" si="97"/>
        <v>1.8749999999999999E-2</v>
      </c>
      <c r="AC115" s="208" t="s">
        <v>1850</v>
      </c>
      <c r="AD115" s="759" t="s">
        <v>1892</v>
      </c>
      <c r="AE115" s="759" t="s">
        <v>2272</v>
      </c>
      <c r="AF115" s="759" t="s">
        <v>2294</v>
      </c>
      <c r="AG115" s="759" t="s">
        <v>2411</v>
      </c>
      <c r="AH115" s="759" t="s">
        <v>2445</v>
      </c>
      <c r="AI115" s="759" t="s">
        <v>2558</v>
      </c>
      <c r="AJ115" s="180"/>
    </row>
    <row r="116" spans="1:36" ht="91.95" customHeight="1" thickBot="1" x14ac:dyDescent="0.4">
      <c r="A116" s="301"/>
      <c r="B116" s="1195" t="s">
        <v>202</v>
      </c>
      <c r="C116" s="1195" t="s">
        <v>203</v>
      </c>
      <c r="D116" s="452" t="s">
        <v>162</v>
      </c>
      <c r="E116" s="531">
        <v>3.7499999999999999E-2</v>
      </c>
      <c r="F116" s="480">
        <v>380</v>
      </c>
      <c r="G116" s="481">
        <v>95</v>
      </c>
      <c r="H116" s="482">
        <v>95</v>
      </c>
      <c r="I116" s="483">
        <f t="shared" si="88"/>
        <v>0.25</v>
      </c>
      <c r="J116" s="486">
        <f t="shared" si="98"/>
        <v>0.25</v>
      </c>
      <c r="K116" s="529">
        <f t="shared" si="89"/>
        <v>9.3749999999999997E-3</v>
      </c>
      <c r="L116" s="530">
        <f t="shared" si="78"/>
        <v>9.3749999999999997E-3</v>
      </c>
      <c r="M116" s="481">
        <v>94</v>
      </c>
      <c r="N116" s="546">
        <v>0</v>
      </c>
      <c r="O116" s="542">
        <v>31</v>
      </c>
      <c r="P116" s="542">
        <v>20</v>
      </c>
      <c r="Q116" s="542">
        <v>22</v>
      </c>
      <c r="R116" s="542">
        <v>22</v>
      </c>
      <c r="S116" s="482">
        <f t="shared" si="99"/>
        <v>95</v>
      </c>
      <c r="T116" s="482">
        <f t="shared" si="90"/>
        <v>189</v>
      </c>
      <c r="U116" s="535">
        <f t="shared" si="91"/>
        <v>0.98947368421052628</v>
      </c>
      <c r="V116" s="520">
        <f t="shared" si="92"/>
        <v>1</v>
      </c>
      <c r="W116" s="535">
        <f t="shared" si="93"/>
        <v>3.7105263157894731E-2</v>
      </c>
      <c r="X116" s="520">
        <f t="shared" si="94"/>
        <v>3.7499999999999999E-2</v>
      </c>
      <c r="Y116" s="560">
        <f t="shared" si="95"/>
        <v>0.24736842105263157</v>
      </c>
      <c r="Z116" s="561">
        <f t="shared" si="87"/>
        <v>0.49736842105263157</v>
      </c>
      <c r="AA116" s="560">
        <f t="shared" si="96"/>
        <v>9.2763157894736829E-3</v>
      </c>
      <c r="AB116" s="561">
        <f t="shared" si="97"/>
        <v>1.8651315789473683E-2</v>
      </c>
      <c r="AC116" s="208" t="s">
        <v>1850</v>
      </c>
      <c r="AD116" s="759" t="s">
        <v>1892</v>
      </c>
      <c r="AE116" s="759" t="s">
        <v>2272</v>
      </c>
      <c r="AF116" s="759" t="s">
        <v>2294</v>
      </c>
      <c r="AG116" s="759" t="s">
        <v>2411</v>
      </c>
      <c r="AH116" s="759" t="s">
        <v>2445</v>
      </c>
      <c r="AI116" s="759" t="s">
        <v>2558</v>
      </c>
      <c r="AJ116" s="180"/>
    </row>
    <row r="117" spans="1:36" ht="163.19999999999999" customHeight="1" thickBot="1" x14ac:dyDescent="0.4">
      <c r="A117" s="301"/>
      <c r="B117" s="1195" t="s">
        <v>204</v>
      </c>
      <c r="C117" s="1195" t="s">
        <v>205</v>
      </c>
      <c r="D117" s="452" t="s">
        <v>162</v>
      </c>
      <c r="E117" s="531">
        <v>3.7499999999999999E-2</v>
      </c>
      <c r="F117" s="480">
        <v>2700</v>
      </c>
      <c r="G117" s="481">
        <v>675</v>
      </c>
      <c r="H117" s="482">
        <v>675</v>
      </c>
      <c r="I117" s="483">
        <f t="shared" si="88"/>
        <v>0.25</v>
      </c>
      <c r="J117" s="486">
        <f t="shared" si="98"/>
        <v>0.25</v>
      </c>
      <c r="K117" s="529">
        <f t="shared" si="89"/>
        <v>9.3749999999999997E-3</v>
      </c>
      <c r="L117" s="530">
        <f t="shared" si="78"/>
        <v>9.3749999999999997E-3</v>
      </c>
      <c r="M117" s="481">
        <v>674</v>
      </c>
      <c r="N117" s="546">
        <v>7</v>
      </c>
      <c r="O117" s="542">
        <v>212</v>
      </c>
      <c r="P117" s="542">
        <v>98</v>
      </c>
      <c r="Q117" s="542">
        <v>244</v>
      </c>
      <c r="R117" s="542">
        <v>114</v>
      </c>
      <c r="S117" s="482">
        <f t="shared" si="99"/>
        <v>675</v>
      </c>
      <c r="T117" s="482">
        <f t="shared" si="90"/>
        <v>1349</v>
      </c>
      <c r="U117" s="535">
        <f t="shared" si="91"/>
        <v>0.99851851851851847</v>
      </c>
      <c r="V117" s="520">
        <f t="shared" si="92"/>
        <v>1</v>
      </c>
      <c r="W117" s="535">
        <f t="shared" si="93"/>
        <v>3.744444444444444E-2</v>
      </c>
      <c r="X117" s="520">
        <f t="shared" si="94"/>
        <v>3.7499999999999999E-2</v>
      </c>
      <c r="Y117" s="560">
        <f t="shared" si="95"/>
        <v>0.24962962962962962</v>
      </c>
      <c r="Z117" s="561">
        <f t="shared" si="87"/>
        <v>0.49962962962962965</v>
      </c>
      <c r="AA117" s="560">
        <f t="shared" si="96"/>
        <v>9.36111111111111E-3</v>
      </c>
      <c r="AB117" s="561">
        <f t="shared" si="97"/>
        <v>1.873611111111111E-2</v>
      </c>
      <c r="AC117" s="208" t="s">
        <v>1850</v>
      </c>
      <c r="AD117" s="759" t="s">
        <v>1892</v>
      </c>
      <c r="AE117" s="759" t="s">
        <v>2272</v>
      </c>
      <c r="AF117" s="759" t="s">
        <v>2294</v>
      </c>
      <c r="AG117" s="759" t="s">
        <v>2411</v>
      </c>
      <c r="AH117" s="759" t="s">
        <v>2445</v>
      </c>
      <c r="AI117" s="759" t="s">
        <v>2558</v>
      </c>
      <c r="AJ117" s="180"/>
    </row>
    <row r="118" spans="1:36" ht="100.2" customHeight="1" thickBot="1" x14ac:dyDescent="0.4">
      <c r="A118" s="301"/>
      <c r="B118" s="1195" t="s">
        <v>206</v>
      </c>
      <c r="C118" s="1195" t="s">
        <v>207</v>
      </c>
      <c r="D118" s="452" t="s">
        <v>162</v>
      </c>
      <c r="E118" s="531">
        <v>0.2</v>
      </c>
      <c r="F118" s="480">
        <v>59184</v>
      </c>
      <c r="G118" s="481">
        <v>14796</v>
      </c>
      <c r="H118" s="481">
        <v>14796</v>
      </c>
      <c r="I118" s="483">
        <f t="shared" si="88"/>
        <v>0.25</v>
      </c>
      <c r="J118" s="486">
        <f t="shared" si="98"/>
        <v>0.25</v>
      </c>
      <c r="K118" s="529">
        <f t="shared" si="89"/>
        <v>0.05</v>
      </c>
      <c r="L118" s="530">
        <f t="shared" si="78"/>
        <v>0.05</v>
      </c>
      <c r="M118" s="481">
        <v>12957</v>
      </c>
      <c r="N118" s="546">
        <v>1876</v>
      </c>
      <c r="O118" s="546">
        <v>3026</v>
      </c>
      <c r="P118" s="542">
        <v>2890</v>
      </c>
      <c r="Q118" s="542">
        <v>1371</v>
      </c>
      <c r="R118" s="542">
        <v>1057</v>
      </c>
      <c r="S118" s="482">
        <f t="shared" si="99"/>
        <v>10220</v>
      </c>
      <c r="T118" s="482">
        <f t="shared" si="90"/>
        <v>23177</v>
      </c>
      <c r="U118" s="535">
        <f t="shared" si="91"/>
        <v>0.87570965125709654</v>
      </c>
      <c r="V118" s="520">
        <f t="shared" si="92"/>
        <v>0.6907272235739389</v>
      </c>
      <c r="W118" s="535">
        <f t="shared" si="93"/>
        <v>0.17514193025141933</v>
      </c>
      <c r="X118" s="520">
        <f t="shared" si="94"/>
        <v>0.13814544471478779</v>
      </c>
      <c r="Y118" s="560">
        <f t="shared" si="95"/>
        <v>0.21892741281427414</v>
      </c>
      <c r="Z118" s="561">
        <f t="shared" si="87"/>
        <v>0.39160921870775883</v>
      </c>
      <c r="AA118" s="560">
        <f t="shared" si="96"/>
        <v>4.3785482562854833E-2</v>
      </c>
      <c r="AB118" s="561">
        <f t="shared" si="97"/>
        <v>7.8321843741551767E-2</v>
      </c>
      <c r="AC118" s="208" t="s">
        <v>1850</v>
      </c>
      <c r="AD118" s="759" t="s">
        <v>1892</v>
      </c>
      <c r="AE118" s="759" t="s">
        <v>2272</v>
      </c>
      <c r="AF118" s="759" t="s">
        <v>2294</v>
      </c>
      <c r="AG118" s="759" t="s">
        <v>2411</v>
      </c>
      <c r="AH118" s="759" t="s">
        <v>2445</v>
      </c>
      <c r="AI118" s="759" t="s">
        <v>2558</v>
      </c>
      <c r="AJ118" s="180"/>
    </row>
    <row r="119" spans="1:36" ht="94.95" customHeight="1" thickBot="1" x14ac:dyDescent="0.4">
      <c r="A119" s="301"/>
      <c r="B119" s="1195" t="s">
        <v>208</v>
      </c>
      <c r="C119" s="1195" t="s">
        <v>209</v>
      </c>
      <c r="D119" s="452" t="s">
        <v>162</v>
      </c>
      <c r="E119" s="531">
        <v>3.7499999999999999E-2</v>
      </c>
      <c r="F119" s="480">
        <v>28</v>
      </c>
      <c r="G119" s="481">
        <v>7</v>
      </c>
      <c r="H119" s="482">
        <v>7</v>
      </c>
      <c r="I119" s="483">
        <f t="shared" si="88"/>
        <v>0.25</v>
      </c>
      <c r="J119" s="486">
        <f t="shared" si="98"/>
        <v>0.25</v>
      </c>
      <c r="K119" s="529">
        <f t="shared" si="89"/>
        <v>9.3749999999999997E-3</v>
      </c>
      <c r="L119" s="530">
        <f t="shared" si="78"/>
        <v>9.3749999999999997E-3</v>
      </c>
      <c r="M119" s="481">
        <v>7</v>
      </c>
      <c r="N119" s="546">
        <v>0</v>
      </c>
      <c r="O119" s="542">
        <v>3.7</v>
      </c>
      <c r="P119" s="542">
        <v>0.69</v>
      </c>
      <c r="Q119" s="542">
        <v>0.6</v>
      </c>
      <c r="R119" s="542">
        <v>2</v>
      </c>
      <c r="S119" s="552">
        <f t="shared" si="99"/>
        <v>6.99</v>
      </c>
      <c r="T119" s="552">
        <f t="shared" si="90"/>
        <v>13.99</v>
      </c>
      <c r="U119" s="535">
        <f t="shared" si="91"/>
        <v>1</v>
      </c>
      <c r="V119" s="520">
        <f t="shared" si="92"/>
        <v>0.99857142857142855</v>
      </c>
      <c r="W119" s="535">
        <f t="shared" si="93"/>
        <v>3.7499999999999999E-2</v>
      </c>
      <c r="X119" s="520">
        <f t="shared" si="94"/>
        <v>3.7446428571428568E-2</v>
      </c>
      <c r="Y119" s="560">
        <f t="shared" si="95"/>
        <v>0.25</v>
      </c>
      <c r="Z119" s="561">
        <f t="shared" si="87"/>
        <v>0.49964285714285717</v>
      </c>
      <c r="AA119" s="560">
        <f t="shared" si="96"/>
        <v>9.3749999999999997E-3</v>
      </c>
      <c r="AB119" s="561">
        <f t="shared" si="97"/>
        <v>1.8736607142857142E-2</v>
      </c>
      <c r="AC119" s="208" t="s">
        <v>1850</v>
      </c>
      <c r="AD119" s="759" t="s">
        <v>1892</v>
      </c>
      <c r="AE119" s="759" t="s">
        <v>2272</v>
      </c>
      <c r="AF119" s="759" t="s">
        <v>2294</v>
      </c>
      <c r="AG119" s="759" t="s">
        <v>2411</v>
      </c>
      <c r="AH119" s="759" t="s">
        <v>2445</v>
      </c>
      <c r="AI119" s="759" t="s">
        <v>2558</v>
      </c>
      <c r="AJ119" s="180"/>
    </row>
    <row r="120" spans="1:36" ht="153.6" customHeight="1" thickBot="1" x14ac:dyDescent="0.4">
      <c r="A120" s="301"/>
      <c r="B120" s="1195" t="s">
        <v>210</v>
      </c>
      <c r="C120" s="1195" t="s">
        <v>211</v>
      </c>
      <c r="D120" s="452" t="s">
        <v>162</v>
      </c>
      <c r="E120" s="531">
        <v>0.1</v>
      </c>
      <c r="F120" s="480">
        <v>32</v>
      </c>
      <c r="G120" s="481">
        <v>4</v>
      </c>
      <c r="H120" s="482">
        <v>8</v>
      </c>
      <c r="I120" s="483">
        <f t="shared" si="88"/>
        <v>0.125</v>
      </c>
      <c r="J120" s="486">
        <f t="shared" si="98"/>
        <v>0.25</v>
      </c>
      <c r="K120" s="529">
        <f t="shared" si="89"/>
        <v>1.2500000000000001E-2</v>
      </c>
      <c r="L120" s="530">
        <f>+(H120/F120)*E120</f>
        <v>2.5000000000000001E-2</v>
      </c>
      <c r="M120" s="481">
        <v>8</v>
      </c>
      <c r="N120" s="546">
        <v>0</v>
      </c>
      <c r="O120" s="542">
        <v>12</v>
      </c>
      <c r="P120" s="542">
        <v>3</v>
      </c>
      <c r="Q120" s="542">
        <v>4</v>
      </c>
      <c r="R120" s="542">
        <v>31</v>
      </c>
      <c r="S120" s="482">
        <f t="shared" si="99"/>
        <v>50</v>
      </c>
      <c r="T120" s="482">
        <f t="shared" si="90"/>
        <v>58</v>
      </c>
      <c r="U120" s="535">
        <v>1</v>
      </c>
      <c r="V120" s="520">
        <v>1</v>
      </c>
      <c r="W120" s="535">
        <f t="shared" si="93"/>
        <v>0.1</v>
      </c>
      <c r="X120" s="520">
        <f t="shared" si="94"/>
        <v>0.1</v>
      </c>
      <c r="Y120" s="560">
        <f>+M120/F120</f>
        <v>0.25</v>
      </c>
      <c r="Z120" s="561">
        <v>1</v>
      </c>
      <c r="AA120" s="560">
        <f t="shared" si="96"/>
        <v>2.5000000000000001E-2</v>
      </c>
      <c r="AB120" s="561">
        <f t="shared" si="97"/>
        <v>0.1</v>
      </c>
      <c r="AC120" s="672" t="s">
        <v>1851</v>
      </c>
      <c r="AD120" s="759" t="s">
        <v>1892</v>
      </c>
      <c r="AE120" s="759" t="s">
        <v>2272</v>
      </c>
      <c r="AF120" s="759" t="s">
        <v>2294</v>
      </c>
      <c r="AG120" s="759" t="s">
        <v>2411</v>
      </c>
      <c r="AH120" s="759" t="s">
        <v>2445</v>
      </c>
      <c r="AI120" s="759" t="s">
        <v>2558</v>
      </c>
      <c r="AJ120" s="180"/>
    </row>
    <row r="121" spans="1:36" ht="176.4" customHeight="1" thickBot="1" x14ac:dyDescent="0.4">
      <c r="A121" s="301"/>
      <c r="B121" s="1195" t="s">
        <v>212</v>
      </c>
      <c r="C121" s="1195" t="s">
        <v>213</v>
      </c>
      <c r="D121" s="452" t="s">
        <v>162</v>
      </c>
      <c r="E121" s="531">
        <v>3.7499999999999999E-2</v>
      </c>
      <c r="F121" s="480">
        <f>72*4</f>
        <v>288</v>
      </c>
      <c r="G121" s="481">
        <v>72</v>
      </c>
      <c r="H121" s="482">
        <v>72</v>
      </c>
      <c r="I121" s="483">
        <f t="shared" si="88"/>
        <v>0.25</v>
      </c>
      <c r="J121" s="486">
        <f t="shared" si="98"/>
        <v>0.25</v>
      </c>
      <c r="K121" s="529">
        <f t="shared" si="89"/>
        <v>9.3749999999999997E-3</v>
      </c>
      <c r="L121" s="530">
        <f t="shared" si="78"/>
        <v>9.3749999999999997E-3</v>
      </c>
      <c r="M121" s="481">
        <v>70</v>
      </c>
      <c r="N121" s="546">
        <v>0</v>
      </c>
      <c r="O121" s="542">
        <v>36</v>
      </c>
      <c r="P121" s="542">
        <v>30</v>
      </c>
      <c r="Q121" s="542">
        <v>5</v>
      </c>
      <c r="R121" s="542">
        <f>26-Q121</f>
        <v>21</v>
      </c>
      <c r="S121" s="482">
        <f t="shared" si="99"/>
        <v>92</v>
      </c>
      <c r="T121" s="482">
        <f t="shared" si="90"/>
        <v>162</v>
      </c>
      <c r="U121" s="535">
        <f t="shared" si="91"/>
        <v>0.97222222222222221</v>
      </c>
      <c r="V121" s="520">
        <v>1</v>
      </c>
      <c r="W121" s="535">
        <f t="shared" si="93"/>
        <v>3.6458333333333329E-2</v>
      </c>
      <c r="X121" s="520">
        <f t="shared" si="94"/>
        <v>3.7499999999999999E-2</v>
      </c>
      <c r="Y121" s="560">
        <f t="shared" si="95"/>
        <v>0.24305555555555555</v>
      </c>
      <c r="Z121" s="561">
        <f t="shared" si="87"/>
        <v>0.5625</v>
      </c>
      <c r="AA121" s="560">
        <f t="shared" si="96"/>
        <v>9.1145833333333322E-3</v>
      </c>
      <c r="AB121" s="561">
        <f t="shared" si="97"/>
        <v>2.1093749999999998E-2</v>
      </c>
      <c r="AC121" s="672" t="s">
        <v>1850</v>
      </c>
      <c r="AD121" s="759" t="s">
        <v>1892</v>
      </c>
      <c r="AE121" s="759" t="s">
        <v>2272</v>
      </c>
      <c r="AF121" s="759" t="s">
        <v>2294</v>
      </c>
      <c r="AG121" s="759" t="s">
        <v>2411</v>
      </c>
      <c r="AH121" s="759" t="s">
        <v>2445</v>
      </c>
      <c r="AI121" s="759" t="s">
        <v>2558</v>
      </c>
      <c r="AJ121" s="180"/>
    </row>
    <row r="122" spans="1:36" ht="114.6" customHeight="1" thickBot="1" x14ac:dyDescent="0.4">
      <c r="A122" s="301"/>
      <c r="B122" s="1195" t="s">
        <v>214</v>
      </c>
      <c r="C122" s="1195" t="s">
        <v>215</v>
      </c>
      <c r="D122" s="452" t="s">
        <v>162</v>
      </c>
      <c r="E122" s="531">
        <v>3.7499999999999999E-2</v>
      </c>
      <c r="F122" s="480">
        <v>300</v>
      </c>
      <c r="G122" s="481">
        <v>75</v>
      </c>
      <c r="H122" s="482">
        <v>75</v>
      </c>
      <c r="I122" s="483">
        <f t="shared" si="88"/>
        <v>0.25</v>
      </c>
      <c r="J122" s="486">
        <f t="shared" si="98"/>
        <v>0.25</v>
      </c>
      <c r="K122" s="529">
        <f t="shared" si="89"/>
        <v>9.3749999999999997E-3</v>
      </c>
      <c r="L122" s="530">
        <f t="shared" si="78"/>
        <v>9.3749999999999997E-3</v>
      </c>
      <c r="M122" s="481">
        <v>75</v>
      </c>
      <c r="N122" s="546">
        <v>0</v>
      </c>
      <c r="O122" s="542">
        <v>20</v>
      </c>
      <c r="P122" s="542">
        <v>32</v>
      </c>
      <c r="Q122" s="542">
        <v>18</v>
      </c>
      <c r="R122" s="542">
        <v>12</v>
      </c>
      <c r="S122" s="482">
        <f t="shared" si="99"/>
        <v>82</v>
      </c>
      <c r="T122" s="482">
        <f t="shared" si="90"/>
        <v>157</v>
      </c>
      <c r="U122" s="535">
        <f t="shared" si="91"/>
        <v>1</v>
      </c>
      <c r="V122" s="520">
        <v>1</v>
      </c>
      <c r="W122" s="535">
        <f t="shared" si="93"/>
        <v>3.7499999999999999E-2</v>
      </c>
      <c r="X122" s="520">
        <f>+V122*E122</f>
        <v>3.7499999999999999E-2</v>
      </c>
      <c r="Y122" s="560">
        <f t="shared" si="95"/>
        <v>0.25</v>
      </c>
      <c r="Z122" s="561">
        <f t="shared" si="87"/>
        <v>0.52333333333333332</v>
      </c>
      <c r="AA122" s="560">
        <f t="shared" si="96"/>
        <v>9.3749999999999997E-3</v>
      </c>
      <c r="AB122" s="561">
        <f t="shared" si="97"/>
        <v>1.9625E-2</v>
      </c>
      <c r="AC122" s="672" t="s">
        <v>1850</v>
      </c>
      <c r="AD122" s="759" t="s">
        <v>1892</v>
      </c>
      <c r="AE122" s="759" t="s">
        <v>2272</v>
      </c>
      <c r="AF122" s="759" t="s">
        <v>2294</v>
      </c>
      <c r="AG122" s="759" t="s">
        <v>2411</v>
      </c>
      <c r="AH122" s="759" t="s">
        <v>2445</v>
      </c>
      <c r="AI122" s="759" t="s">
        <v>2558</v>
      </c>
      <c r="AJ122" s="180"/>
    </row>
    <row r="123" spans="1:36" ht="105.6" customHeight="1" thickBot="1" x14ac:dyDescent="0.4">
      <c r="A123" s="301"/>
      <c r="B123" s="1195" t="s">
        <v>216</v>
      </c>
      <c r="C123" s="1195" t="s">
        <v>217</v>
      </c>
      <c r="D123" s="452" t="s">
        <v>162</v>
      </c>
      <c r="E123" s="531">
        <v>3.7499999999999999E-2</v>
      </c>
      <c r="F123" s="480">
        <v>300</v>
      </c>
      <c r="G123" s="481">
        <v>75</v>
      </c>
      <c r="H123" s="482">
        <v>75</v>
      </c>
      <c r="I123" s="483">
        <f t="shared" si="88"/>
        <v>0.25</v>
      </c>
      <c r="J123" s="486">
        <f t="shared" si="98"/>
        <v>0.25</v>
      </c>
      <c r="K123" s="529">
        <f t="shared" si="89"/>
        <v>9.3749999999999997E-3</v>
      </c>
      <c r="L123" s="530">
        <f t="shared" si="78"/>
        <v>9.3749999999999997E-3</v>
      </c>
      <c r="M123" s="481">
        <v>75</v>
      </c>
      <c r="N123" s="546">
        <v>0</v>
      </c>
      <c r="O123" s="542">
        <v>19</v>
      </c>
      <c r="P123" s="542">
        <v>37</v>
      </c>
      <c r="Q123" s="542">
        <v>18</v>
      </c>
      <c r="R123" s="542">
        <v>11</v>
      </c>
      <c r="S123" s="482">
        <f t="shared" si="99"/>
        <v>85</v>
      </c>
      <c r="T123" s="482">
        <f t="shared" si="90"/>
        <v>160</v>
      </c>
      <c r="U123" s="535">
        <f t="shared" si="91"/>
        <v>1</v>
      </c>
      <c r="V123" s="520">
        <v>1</v>
      </c>
      <c r="W123" s="535">
        <f t="shared" si="93"/>
        <v>3.7499999999999999E-2</v>
      </c>
      <c r="X123" s="520">
        <f t="shared" si="94"/>
        <v>3.7499999999999999E-2</v>
      </c>
      <c r="Y123" s="560">
        <f t="shared" si="95"/>
        <v>0.25</v>
      </c>
      <c r="Z123" s="561">
        <f t="shared" si="87"/>
        <v>0.53333333333333333</v>
      </c>
      <c r="AA123" s="560">
        <f t="shared" si="96"/>
        <v>9.3749999999999997E-3</v>
      </c>
      <c r="AB123" s="561">
        <f t="shared" si="97"/>
        <v>0.02</v>
      </c>
      <c r="AC123" s="672" t="s">
        <v>1850</v>
      </c>
      <c r="AD123" s="759" t="s">
        <v>1892</v>
      </c>
      <c r="AE123" s="759" t="s">
        <v>2272</v>
      </c>
      <c r="AF123" s="759" t="s">
        <v>2294</v>
      </c>
      <c r="AG123" s="759" t="s">
        <v>2411</v>
      </c>
      <c r="AH123" s="759" t="s">
        <v>2445</v>
      </c>
      <c r="AI123" s="759" t="s">
        <v>2558</v>
      </c>
      <c r="AJ123" s="180"/>
    </row>
    <row r="124" spans="1:36" ht="92.4" customHeight="1" thickBot="1" x14ac:dyDescent="0.4">
      <c r="A124" s="301"/>
      <c r="B124" s="1195" t="s">
        <v>218</v>
      </c>
      <c r="C124" s="1195" t="s">
        <v>219</v>
      </c>
      <c r="D124" s="452" t="s">
        <v>162</v>
      </c>
      <c r="E124" s="531">
        <v>3.7499999999999999E-2</v>
      </c>
      <c r="F124" s="480">
        <v>720</v>
      </c>
      <c r="G124" s="481">
        <v>180</v>
      </c>
      <c r="H124" s="482">
        <v>180</v>
      </c>
      <c r="I124" s="483">
        <f t="shared" si="88"/>
        <v>0.25</v>
      </c>
      <c r="J124" s="486">
        <f t="shared" si="98"/>
        <v>0.25</v>
      </c>
      <c r="K124" s="529">
        <f t="shared" si="89"/>
        <v>9.3749999999999997E-3</v>
      </c>
      <c r="L124" s="530">
        <f t="shared" si="78"/>
        <v>9.3749999999999997E-3</v>
      </c>
      <c r="M124" s="481">
        <v>224</v>
      </c>
      <c r="N124" s="546">
        <v>3</v>
      </c>
      <c r="O124" s="542">
        <v>76</v>
      </c>
      <c r="P124" s="542">
        <v>48</v>
      </c>
      <c r="Q124" s="542">
        <v>39</v>
      </c>
      <c r="R124" s="542">
        <v>14</v>
      </c>
      <c r="S124" s="482">
        <f t="shared" si="99"/>
        <v>180</v>
      </c>
      <c r="T124" s="482">
        <f t="shared" si="90"/>
        <v>404</v>
      </c>
      <c r="U124" s="535">
        <v>1</v>
      </c>
      <c r="V124" s="520">
        <f>+S124/H124</f>
        <v>1</v>
      </c>
      <c r="W124" s="535">
        <f>+U124*E124</f>
        <v>3.7499999999999999E-2</v>
      </c>
      <c r="X124" s="520">
        <f t="shared" si="94"/>
        <v>3.7499999999999999E-2</v>
      </c>
      <c r="Y124" s="560">
        <f t="shared" si="95"/>
        <v>0.31111111111111112</v>
      </c>
      <c r="Z124" s="562">
        <f t="shared" si="87"/>
        <v>0.56111111111111112</v>
      </c>
      <c r="AA124" s="560">
        <f>+Y124*E124</f>
        <v>1.1666666666666667E-2</v>
      </c>
      <c r="AB124" s="561">
        <f t="shared" si="97"/>
        <v>2.1041666666666667E-2</v>
      </c>
      <c r="AC124" s="672" t="s">
        <v>1850</v>
      </c>
      <c r="AD124" s="759" t="s">
        <v>1892</v>
      </c>
      <c r="AE124" s="759" t="s">
        <v>2272</v>
      </c>
      <c r="AF124" s="759" t="s">
        <v>2294</v>
      </c>
      <c r="AG124" s="759" t="s">
        <v>2411</v>
      </c>
      <c r="AH124" s="759" t="s">
        <v>2445</v>
      </c>
      <c r="AI124" s="759" t="s">
        <v>2445</v>
      </c>
      <c r="AJ124" s="180"/>
    </row>
    <row r="125" spans="1:36" ht="99" customHeight="1" thickBot="1" x14ac:dyDescent="0.45">
      <c r="A125" s="301"/>
      <c r="B125" s="1300" t="s">
        <v>1610</v>
      </c>
      <c r="C125" s="1299"/>
      <c r="D125" s="452"/>
      <c r="E125" s="476">
        <v>0.05</v>
      </c>
      <c r="F125" s="479"/>
      <c r="G125" s="481"/>
      <c r="H125" s="482"/>
      <c r="I125" s="478">
        <f>+AVERAGE(I126:I129)</f>
        <v>0.25</v>
      </c>
      <c r="J125" s="478">
        <f>+AVERAGE(J126:J129)</f>
        <v>0.25</v>
      </c>
      <c r="K125" s="478">
        <f>+K126+K127+K128+K129</f>
        <v>0.15</v>
      </c>
      <c r="L125" s="478">
        <f>+L126+L127+L128+L129</f>
        <v>0.15</v>
      </c>
      <c r="M125" s="479"/>
      <c r="N125" s="485"/>
      <c r="O125" s="485"/>
      <c r="P125" s="485"/>
      <c r="Q125" s="485"/>
      <c r="R125" s="1200"/>
      <c r="S125" s="485"/>
      <c r="T125" s="485"/>
      <c r="U125" s="544">
        <f>+AVERAGE(U126:U129)</f>
        <v>1</v>
      </c>
      <c r="V125" s="544">
        <f>+AVERAGE(V126:V129)</f>
        <v>1</v>
      </c>
      <c r="W125" s="544">
        <f>+(W126+W127+W128+W129)*E125</f>
        <v>0.03</v>
      </c>
      <c r="X125" s="544">
        <f>+(X126+X127+X128+X129)*F125</f>
        <v>0</v>
      </c>
      <c r="Y125" s="499">
        <f>+AVERAGE(Y126:Y129)</f>
        <v>0.25</v>
      </c>
      <c r="Z125" s="845">
        <f>+Y125+((Z127-Y127)/4)</f>
        <v>0.3125</v>
      </c>
      <c r="AA125" s="499">
        <f>+(AA126+AA127+AA128+AA129)*E125</f>
        <v>7.4999999999999997E-3</v>
      </c>
      <c r="AB125" s="556">
        <f>+(AB126+AB127+AB128+AB129)</f>
        <v>0.3</v>
      </c>
      <c r="AC125" s="201"/>
      <c r="AD125" s="655" t="s">
        <v>1966</v>
      </c>
      <c r="AE125" s="450"/>
      <c r="AF125" s="655" t="s">
        <v>1966</v>
      </c>
      <c r="AG125" s="450"/>
      <c r="AH125" s="450"/>
      <c r="AI125" s="225"/>
      <c r="AJ125" s="180"/>
    </row>
    <row r="126" spans="1:36" ht="118.2" customHeight="1" thickBot="1" x14ac:dyDescent="0.4">
      <c r="A126" s="301"/>
      <c r="B126" s="1195" t="s">
        <v>220</v>
      </c>
      <c r="C126" s="1195" t="s">
        <v>221</v>
      </c>
      <c r="D126" s="452" t="s">
        <v>222</v>
      </c>
      <c r="E126" s="352">
        <v>0.1</v>
      </c>
      <c r="F126" s="480">
        <v>1</v>
      </c>
      <c r="G126" s="481">
        <v>0</v>
      </c>
      <c r="H126" s="482">
        <v>0</v>
      </c>
      <c r="I126" s="483"/>
      <c r="J126" s="486"/>
      <c r="K126" s="529"/>
      <c r="L126" s="530"/>
      <c r="M126" s="481"/>
      <c r="N126" s="546"/>
      <c r="O126" s="542"/>
      <c r="P126" s="542"/>
      <c r="Q126" s="542"/>
      <c r="R126" s="542"/>
      <c r="S126" s="482">
        <f>+N126+O126+P126+Q126+R126</f>
        <v>0</v>
      </c>
      <c r="T126" s="482">
        <f t="shared" ref="T126:T129" si="104">+S126+M126</f>
        <v>0</v>
      </c>
      <c r="U126" s="529"/>
      <c r="V126" s="530"/>
      <c r="W126" s="529"/>
      <c r="X126" s="530"/>
      <c r="Y126" s="503"/>
      <c r="Z126" s="565">
        <v>0</v>
      </c>
      <c r="AA126" s="503"/>
      <c r="AB126" s="504"/>
      <c r="AC126" s="208" t="s">
        <v>1850</v>
      </c>
      <c r="AD126" s="759" t="s">
        <v>1892</v>
      </c>
      <c r="AE126" s="759" t="s">
        <v>2272</v>
      </c>
      <c r="AF126" s="759" t="s">
        <v>2294</v>
      </c>
      <c r="AG126" s="759" t="s">
        <v>2411</v>
      </c>
      <c r="AH126" s="759" t="s">
        <v>2445</v>
      </c>
      <c r="AI126" s="759" t="s">
        <v>2445</v>
      </c>
      <c r="AJ126" s="180"/>
    </row>
    <row r="127" spans="1:36" ht="117" customHeight="1" thickBot="1" x14ac:dyDescent="0.4">
      <c r="A127" s="301"/>
      <c r="B127" s="1204" t="s">
        <v>223</v>
      </c>
      <c r="C127" s="1204" t="s">
        <v>224</v>
      </c>
      <c r="D127" s="452" t="s">
        <v>222</v>
      </c>
      <c r="E127" s="352">
        <v>0.6</v>
      </c>
      <c r="F127" s="480">
        <v>4</v>
      </c>
      <c r="G127" s="481">
        <v>1</v>
      </c>
      <c r="H127" s="482">
        <v>1</v>
      </c>
      <c r="I127" s="483">
        <f>+G127/F127</f>
        <v>0.25</v>
      </c>
      <c r="J127" s="486">
        <f t="shared" ref="J127" si="105">+H127/F127</f>
        <v>0.25</v>
      </c>
      <c r="K127" s="529">
        <f>+(G127/F127)*E127</f>
        <v>0.15</v>
      </c>
      <c r="L127" s="530">
        <f>+(H127/F127)*E127</f>
        <v>0.15</v>
      </c>
      <c r="M127" s="481">
        <v>1</v>
      </c>
      <c r="N127" s="546">
        <v>0.4</v>
      </c>
      <c r="O127" s="542">
        <v>0.1</v>
      </c>
      <c r="P127" s="542">
        <v>0.4</v>
      </c>
      <c r="Q127" s="542">
        <v>0.1</v>
      </c>
      <c r="R127" s="542">
        <v>0</v>
      </c>
      <c r="S127" s="482">
        <f t="shared" ref="S127:S129" si="106">+N127+O127+P127+Q127+R127</f>
        <v>1</v>
      </c>
      <c r="T127" s="482">
        <f t="shared" si="104"/>
        <v>2</v>
      </c>
      <c r="U127" s="529">
        <f>+(M127/G127)</f>
        <v>1</v>
      </c>
      <c r="V127" s="530">
        <f t="shared" ref="V127" si="107">+S127/H127</f>
        <v>1</v>
      </c>
      <c r="W127" s="529">
        <f>+U127*E127</f>
        <v>0.6</v>
      </c>
      <c r="X127" s="530">
        <f t="shared" si="94"/>
        <v>0.6</v>
      </c>
      <c r="Y127" s="503">
        <f>+M127/F127</f>
        <v>0.25</v>
      </c>
      <c r="Z127" s="504">
        <f>+T127/F127</f>
        <v>0.5</v>
      </c>
      <c r="AA127" s="503">
        <f>+Y127*E127</f>
        <v>0.15</v>
      </c>
      <c r="AB127" s="504">
        <f>+Z127*E127</f>
        <v>0.3</v>
      </c>
      <c r="AC127" s="208" t="s">
        <v>1850</v>
      </c>
      <c r="AD127" s="759" t="s">
        <v>1892</v>
      </c>
      <c r="AE127" s="759" t="s">
        <v>2272</v>
      </c>
      <c r="AF127" s="759" t="s">
        <v>2294</v>
      </c>
      <c r="AG127" s="759" t="s">
        <v>2411</v>
      </c>
      <c r="AH127" s="759" t="s">
        <v>2445</v>
      </c>
      <c r="AI127" s="759" t="s">
        <v>2445</v>
      </c>
      <c r="AJ127" s="180"/>
    </row>
    <row r="128" spans="1:36" ht="90" customHeight="1" thickBot="1" x14ac:dyDescent="0.4">
      <c r="A128" s="301"/>
      <c r="B128" s="1195" t="s">
        <v>225</v>
      </c>
      <c r="C128" s="1195" t="s">
        <v>226</v>
      </c>
      <c r="D128" s="452" t="s">
        <v>222</v>
      </c>
      <c r="E128" s="352">
        <v>0.2</v>
      </c>
      <c r="F128" s="480">
        <v>1</v>
      </c>
      <c r="G128" s="481">
        <v>0</v>
      </c>
      <c r="H128" s="482">
        <v>0</v>
      </c>
      <c r="I128" s="483"/>
      <c r="J128" s="486"/>
      <c r="K128" s="529"/>
      <c r="L128" s="530"/>
      <c r="M128" s="481"/>
      <c r="N128" s="546"/>
      <c r="O128" s="542"/>
      <c r="P128" s="542"/>
      <c r="Q128" s="542"/>
      <c r="R128" s="542"/>
      <c r="S128" s="482">
        <f t="shared" si="106"/>
        <v>0</v>
      </c>
      <c r="T128" s="482">
        <f t="shared" si="104"/>
        <v>0</v>
      </c>
      <c r="U128" s="529"/>
      <c r="V128" s="530"/>
      <c r="W128" s="529"/>
      <c r="X128" s="530"/>
      <c r="Y128" s="503"/>
      <c r="Z128" s="504">
        <v>0</v>
      </c>
      <c r="AA128" s="503"/>
      <c r="AB128" s="504"/>
      <c r="AC128" s="208" t="s">
        <v>1850</v>
      </c>
      <c r="AD128" s="759" t="s">
        <v>1892</v>
      </c>
      <c r="AE128" s="759" t="s">
        <v>2272</v>
      </c>
      <c r="AF128" s="759" t="s">
        <v>2294</v>
      </c>
      <c r="AG128" s="759" t="s">
        <v>2411</v>
      </c>
      <c r="AH128" s="759" t="s">
        <v>2445</v>
      </c>
      <c r="AI128" s="759" t="s">
        <v>2445</v>
      </c>
      <c r="AJ128" s="180"/>
    </row>
    <row r="129" spans="1:36" ht="75.599999999999994" customHeight="1" thickBot="1" x14ac:dyDescent="0.4">
      <c r="A129" s="301"/>
      <c r="B129" s="1195" t="s">
        <v>227</v>
      </c>
      <c r="C129" s="1195" t="s">
        <v>228</v>
      </c>
      <c r="D129" s="452" t="s">
        <v>222</v>
      </c>
      <c r="E129" s="352">
        <v>0.1</v>
      </c>
      <c r="F129" s="480">
        <v>1</v>
      </c>
      <c r="G129" s="481">
        <v>0</v>
      </c>
      <c r="H129" s="482">
        <v>0</v>
      </c>
      <c r="I129" s="483"/>
      <c r="J129" s="486"/>
      <c r="K129" s="529"/>
      <c r="L129" s="530"/>
      <c r="M129" s="481"/>
      <c r="N129" s="546"/>
      <c r="O129" s="542"/>
      <c r="P129" s="542"/>
      <c r="Q129" s="542"/>
      <c r="R129" s="542"/>
      <c r="S129" s="482">
        <f t="shared" si="106"/>
        <v>0</v>
      </c>
      <c r="T129" s="482">
        <f t="shared" si="104"/>
        <v>0</v>
      </c>
      <c r="U129" s="529"/>
      <c r="V129" s="530"/>
      <c r="W129" s="529"/>
      <c r="X129" s="530"/>
      <c r="Y129" s="503"/>
      <c r="Z129" s="566">
        <v>0</v>
      </c>
      <c r="AA129" s="503"/>
      <c r="AB129" s="504"/>
      <c r="AC129" s="208" t="s">
        <v>1850</v>
      </c>
      <c r="AD129" s="759" t="s">
        <v>1892</v>
      </c>
      <c r="AE129" s="759" t="s">
        <v>2272</v>
      </c>
      <c r="AF129" s="759" t="s">
        <v>2294</v>
      </c>
      <c r="AG129" s="759" t="s">
        <v>2411</v>
      </c>
      <c r="AH129" s="759" t="s">
        <v>2445</v>
      </c>
      <c r="AI129" s="759" t="s">
        <v>2445</v>
      </c>
      <c r="AJ129" s="180"/>
    </row>
    <row r="130" spans="1:36" ht="147" customHeight="1" thickBot="1" x14ac:dyDescent="0.45">
      <c r="A130" s="301"/>
      <c r="B130" s="1301" t="s">
        <v>229</v>
      </c>
      <c r="C130" s="1299"/>
      <c r="D130" s="449"/>
      <c r="E130" s="488">
        <v>0.2</v>
      </c>
      <c r="F130" s="488">
        <f>+E130*W130</f>
        <v>0.13438738197424893</v>
      </c>
      <c r="G130" s="479"/>
      <c r="H130" s="488">
        <f>E130*X130</f>
        <v>0.18070884995371539</v>
      </c>
      <c r="I130" s="473">
        <f>+(I131+I140+I143+I148+I153+I160+I166)/6</f>
        <v>0.3193759495300631</v>
      </c>
      <c r="J130" s="473">
        <f>+(J131+J140+J143+J148+J153+J160+J166)/7</f>
        <v>0.36067241266804129</v>
      </c>
      <c r="K130" s="533">
        <f>+(K131+K140+K143+K148+K153+K160+K166)/6</f>
        <v>0.17451004248744692</v>
      </c>
      <c r="L130" s="533">
        <f>+(L131+L140+L143+L148+L153+L160+L166)/7</f>
        <v>0.31558347607692649</v>
      </c>
      <c r="M130" s="479"/>
      <c r="N130" s="660"/>
      <c r="O130" s="485"/>
      <c r="P130" s="485"/>
      <c r="Q130" s="485"/>
      <c r="R130" s="1200"/>
      <c r="S130" s="485"/>
      <c r="T130" s="485"/>
      <c r="U130" s="473">
        <f>+(U131+U140+U143+U148+U153+U160+U166)/6</f>
        <v>0.73629960790547333</v>
      </c>
      <c r="V130" s="473">
        <f>+(V131+V140+V143+V148+V153+V160+V166)/7</f>
        <v>0.93408960568490651</v>
      </c>
      <c r="W130" s="533">
        <f>+W131+W140+W143+W148+W153+W160+W166</f>
        <v>0.67193690987124466</v>
      </c>
      <c r="X130" s="533">
        <f>+X131+X140+X143+X148+X153+X160+X166</f>
        <v>0.90354424976857683</v>
      </c>
      <c r="Y130" s="559">
        <f>+(Y131+Y140+Y143+Y148+Y153+Y160+Y166)/6</f>
        <v>0.24621230380461609</v>
      </c>
      <c r="Z130" s="570">
        <f>+(Z131+Z140+Z143+Z148+Z153+Z160+Z166)/7</f>
        <v>0.53900494378103292</v>
      </c>
      <c r="AA130" s="569">
        <f>+AA131+AA140+AA143+AA148+AA153+AA160+AA166</f>
        <v>0.18458001541682623</v>
      </c>
      <c r="AB130" s="675">
        <f>+(AB131*E131)+(AB140*E140)+(AB143*E143)+(AB148*E148)+(AB153*E153)+(AB160*E160)+(AB166*E166)</f>
        <v>0.46920061064175028</v>
      </c>
      <c r="AC130" s="215"/>
      <c r="AD130" s="215"/>
      <c r="AE130" s="450"/>
      <c r="AF130" s="450"/>
      <c r="AG130" s="450"/>
      <c r="AH130" s="450"/>
      <c r="AI130" s="225"/>
      <c r="AJ130" s="180"/>
    </row>
    <row r="131" spans="1:36" ht="86.25" customHeight="1" thickBot="1" x14ac:dyDescent="0.45">
      <c r="A131" s="301"/>
      <c r="B131" s="1300" t="s">
        <v>1611</v>
      </c>
      <c r="C131" s="1299"/>
      <c r="D131" s="451"/>
      <c r="E131" s="476">
        <v>0.2</v>
      </c>
      <c r="F131" s="479"/>
      <c r="G131" s="481"/>
      <c r="H131" s="482"/>
      <c r="I131" s="478">
        <f>+AVERAGE(I132:I139)</f>
        <v>0.33333333333333331</v>
      </c>
      <c r="J131" s="478">
        <f>+AVERAGE(J132:J139)</f>
        <v>0.39999999999999997</v>
      </c>
      <c r="K131" s="478">
        <f>+K132+K133+K134+K135+K136+K137+K138+K139</f>
        <v>0.21750000000000003</v>
      </c>
      <c r="L131" s="478">
        <f>+L132+L133+L134+L135+L136+L137+L138+L139</f>
        <v>0.21250000000000002</v>
      </c>
      <c r="M131" s="479"/>
      <c r="N131" s="485"/>
      <c r="O131" s="485"/>
      <c r="P131" s="485"/>
      <c r="Q131" s="485"/>
      <c r="R131" s="1200"/>
      <c r="S131" s="485"/>
      <c r="T131" s="485"/>
      <c r="U131" s="544">
        <f>+AVERAGE(U132:U139)</f>
        <v>0.60613098076617389</v>
      </c>
      <c r="V131" s="544">
        <f>+AVERAGE(V132:V139)</f>
        <v>0.81556645548061846</v>
      </c>
      <c r="W131" s="541">
        <f>+(W132+W133+W134+W135+W136+W137+W138+W139)*E131</f>
        <v>9.023690987124465E-2</v>
      </c>
      <c r="X131" s="541">
        <f>+(X132+X133+X134+X135+X136+X137+X138+X139)*E131</f>
        <v>0.13193562231759656</v>
      </c>
      <c r="Y131" s="499">
        <f>+AVERAGE(Y132:Y139)</f>
        <v>0.22653274519154346</v>
      </c>
      <c r="Z131" s="564">
        <f>+AVERAGE(Z132:Z139)</f>
        <v>0.56705472103004295</v>
      </c>
      <c r="AA131" s="499">
        <f>+(AA132+AA133+AA134+AA135+AA136+AA137+AA138+AA139)*E131</f>
        <v>3.155922746781116E-2</v>
      </c>
      <c r="AB131" s="556">
        <f>+(AB132+AB133+AB134+AB135+AB136+AB137+AB138+AB139)</f>
        <v>0.42271566523605159</v>
      </c>
      <c r="AC131" s="201"/>
      <c r="AD131" s="450"/>
      <c r="AE131" s="450"/>
      <c r="AF131" s="450"/>
      <c r="AG131" s="450"/>
      <c r="AH131" s="450"/>
      <c r="AI131" s="225"/>
      <c r="AJ131" s="180"/>
    </row>
    <row r="132" spans="1:36" ht="72.599999999999994" customHeight="1" thickBot="1" x14ac:dyDescent="0.4">
      <c r="A132" s="301"/>
      <c r="B132" s="1195" t="s">
        <v>230</v>
      </c>
      <c r="C132" s="1195" t="s">
        <v>231</v>
      </c>
      <c r="D132" s="452" t="s">
        <v>58</v>
      </c>
      <c r="E132" s="352">
        <v>0.15</v>
      </c>
      <c r="F132" s="480">
        <v>16776</v>
      </c>
      <c r="G132" s="481">
        <v>4194</v>
      </c>
      <c r="H132" s="482">
        <v>4194</v>
      </c>
      <c r="I132" s="483">
        <f t="shared" ref="I132:I139" si="108">+G132/F132</f>
        <v>0.25</v>
      </c>
      <c r="J132" s="486">
        <f t="shared" ref="J132:J170" si="109">+H132/F132</f>
        <v>0.25</v>
      </c>
      <c r="K132" s="483">
        <f t="shared" ref="K132:K139" si="110">+(G132/F132)*E132</f>
        <v>3.7499999999999999E-2</v>
      </c>
      <c r="L132" s="486">
        <f t="shared" ref="L132:L170" si="111">+(H132/F132)*E132</f>
        <v>3.7499999999999999E-2</v>
      </c>
      <c r="M132" s="481">
        <v>3146</v>
      </c>
      <c r="N132" s="546">
        <v>2976</v>
      </c>
      <c r="O132" s="543">
        <v>3032</v>
      </c>
      <c r="P132" s="542">
        <v>3146</v>
      </c>
      <c r="Q132" s="542">
        <v>3253</v>
      </c>
      <c r="R132" s="542">
        <v>3253</v>
      </c>
      <c r="S132" s="482">
        <f>+M132+R132</f>
        <v>6399</v>
      </c>
      <c r="T132" s="482">
        <f>+M132+R132</f>
        <v>6399</v>
      </c>
      <c r="U132" s="483">
        <f>+(M132/G132)</f>
        <v>0.75011921793037672</v>
      </c>
      <c r="V132" s="716">
        <f>+R132/H132</f>
        <v>0.77563185503099663</v>
      </c>
      <c r="W132" s="483">
        <f t="shared" ref="W132:W139" si="112">+U132*E132</f>
        <v>0.11251788268955651</v>
      </c>
      <c r="X132" s="486">
        <f>+V132*E132</f>
        <v>0.11634477825464949</v>
      </c>
      <c r="Y132" s="568">
        <f>+M132/F132</f>
        <v>0.18752980448259418</v>
      </c>
      <c r="Z132" s="567">
        <f>+T132/F132</f>
        <v>0.38143776824034337</v>
      </c>
      <c r="AA132" s="503">
        <f>+Y132*E132</f>
        <v>2.8129470672389127E-2</v>
      </c>
      <c r="AB132" s="504">
        <f>+Z132*E132</f>
        <v>5.7215665236051504E-2</v>
      </c>
      <c r="AC132" s="208" t="s">
        <v>1850</v>
      </c>
      <c r="AD132" s="654" t="s">
        <v>1918</v>
      </c>
      <c r="AE132" s="759" t="s">
        <v>2272</v>
      </c>
      <c r="AF132" s="759" t="s">
        <v>2294</v>
      </c>
      <c r="AG132" s="759" t="s">
        <v>2411</v>
      </c>
      <c r="AH132" s="759" t="s">
        <v>2445</v>
      </c>
      <c r="AI132" s="759" t="s">
        <v>2558</v>
      </c>
      <c r="AJ132" s="180"/>
    </row>
    <row r="133" spans="1:36" ht="72.599999999999994" customHeight="1" thickBot="1" x14ac:dyDescent="0.4">
      <c r="A133" s="301"/>
      <c r="B133" s="1195" t="s">
        <v>232</v>
      </c>
      <c r="C133" s="1195" t="s">
        <v>233</v>
      </c>
      <c r="D133" s="452" t="s">
        <v>58</v>
      </c>
      <c r="E133" s="352">
        <v>0.15</v>
      </c>
      <c r="F133" s="480">
        <v>22724</v>
      </c>
      <c r="G133" s="481">
        <v>5681</v>
      </c>
      <c r="H133" s="482">
        <v>5681</v>
      </c>
      <c r="I133" s="483">
        <f t="shared" si="108"/>
        <v>0.25</v>
      </c>
      <c r="J133" s="486">
        <f t="shared" si="109"/>
        <v>0.25</v>
      </c>
      <c r="K133" s="483">
        <f t="shared" si="110"/>
        <v>3.7499999999999999E-2</v>
      </c>
      <c r="L133" s="486">
        <f t="shared" si="111"/>
        <v>3.7499999999999999E-2</v>
      </c>
      <c r="M133" s="481">
        <v>5681</v>
      </c>
      <c r="N133" s="546">
        <v>5455</v>
      </c>
      <c r="O133" s="543">
        <v>5455</v>
      </c>
      <c r="P133" s="542">
        <v>5681</v>
      </c>
      <c r="Q133" s="542">
        <v>5500</v>
      </c>
      <c r="R133" s="542">
        <v>5681</v>
      </c>
      <c r="S133" s="482">
        <f>+R133</f>
        <v>5681</v>
      </c>
      <c r="T133" s="482">
        <f>+S133+M133</f>
        <v>11362</v>
      </c>
      <c r="U133" s="483">
        <f t="shared" ref="U133:U139" si="113">+(M133/G133)</f>
        <v>1</v>
      </c>
      <c r="V133" s="716">
        <f>+P133/H133</f>
        <v>1</v>
      </c>
      <c r="W133" s="483">
        <f t="shared" si="112"/>
        <v>0.15</v>
      </c>
      <c r="X133" s="486">
        <f t="shared" ref="X133:X141" si="114">+V133*E133</f>
        <v>0.15</v>
      </c>
      <c r="Y133" s="503">
        <f t="shared" ref="Y133:Y139" si="115">+M133/F133</f>
        <v>0.25</v>
      </c>
      <c r="Z133" s="561">
        <f>+T133/F133</f>
        <v>0.5</v>
      </c>
      <c r="AA133" s="503">
        <f t="shared" ref="AA133:AA139" si="116">+Y133*E133</f>
        <v>3.7499999999999999E-2</v>
      </c>
      <c r="AB133" s="504">
        <f>+Z133*E133</f>
        <v>7.4999999999999997E-2</v>
      </c>
      <c r="AC133" s="208" t="s">
        <v>1850</v>
      </c>
      <c r="AD133" s="654" t="s">
        <v>1918</v>
      </c>
      <c r="AE133" s="759" t="s">
        <v>2272</v>
      </c>
      <c r="AF133" s="759" t="s">
        <v>2294</v>
      </c>
      <c r="AG133" s="759" t="s">
        <v>2411</v>
      </c>
      <c r="AH133" s="759" t="s">
        <v>2445</v>
      </c>
      <c r="AI133" s="759" t="s">
        <v>2558</v>
      </c>
      <c r="AJ133" s="180"/>
    </row>
    <row r="134" spans="1:36" ht="72.599999999999994" customHeight="1" thickBot="1" x14ac:dyDescent="0.4">
      <c r="A134" s="301"/>
      <c r="B134" s="1195" t="s">
        <v>234</v>
      </c>
      <c r="C134" s="1195" t="s">
        <v>235</v>
      </c>
      <c r="D134" s="452" t="s">
        <v>58</v>
      </c>
      <c r="E134" s="352">
        <v>0.1</v>
      </c>
      <c r="F134" s="480">
        <f>150*4</f>
        <v>600</v>
      </c>
      <c r="G134" s="481">
        <v>150</v>
      </c>
      <c r="H134" s="482">
        <v>150</v>
      </c>
      <c r="I134" s="483">
        <f t="shared" si="108"/>
        <v>0.25</v>
      </c>
      <c r="J134" s="486">
        <f t="shared" si="109"/>
        <v>0.25</v>
      </c>
      <c r="K134" s="483">
        <f t="shared" si="110"/>
        <v>2.5000000000000001E-2</v>
      </c>
      <c r="L134" s="486">
        <f t="shared" si="111"/>
        <v>2.5000000000000001E-2</v>
      </c>
      <c r="M134" s="481">
        <v>133</v>
      </c>
      <c r="N134" s="546">
        <v>135</v>
      </c>
      <c r="O134" s="543">
        <v>136</v>
      </c>
      <c r="P134" s="542">
        <v>136</v>
      </c>
      <c r="Q134" s="542">
        <v>140</v>
      </c>
      <c r="R134" s="542">
        <v>140</v>
      </c>
      <c r="S134" s="482">
        <f t="shared" ref="S134:S139" si="117">+N134+O134+P134+Q134+R134</f>
        <v>687</v>
      </c>
      <c r="T134" s="482">
        <f t="shared" ref="T134:T170" si="118">+S134+M134</f>
        <v>820</v>
      </c>
      <c r="U134" s="483">
        <f t="shared" si="113"/>
        <v>0.88666666666666671</v>
      </c>
      <c r="V134" s="520">
        <f>+Q134/H134</f>
        <v>0.93333333333333335</v>
      </c>
      <c r="W134" s="483">
        <f t="shared" si="112"/>
        <v>8.8666666666666671E-2</v>
      </c>
      <c r="X134" s="486">
        <f t="shared" si="114"/>
        <v>9.3333333333333338E-2</v>
      </c>
      <c r="Y134" s="503">
        <f t="shared" si="115"/>
        <v>0.22166666666666668</v>
      </c>
      <c r="Z134" s="561">
        <f>+Y134+(V134*0.25)</f>
        <v>0.45500000000000002</v>
      </c>
      <c r="AA134" s="503">
        <f t="shared" si="116"/>
        <v>2.2166666666666668E-2</v>
      </c>
      <c r="AB134" s="504">
        <f>+Z134*E134</f>
        <v>4.5500000000000006E-2</v>
      </c>
      <c r="AC134" s="208" t="s">
        <v>1850</v>
      </c>
      <c r="AD134" s="759" t="s">
        <v>1892</v>
      </c>
      <c r="AE134" s="759" t="s">
        <v>2272</v>
      </c>
      <c r="AF134" s="759" t="s">
        <v>2294</v>
      </c>
      <c r="AG134" s="759" t="s">
        <v>2411</v>
      </c>
      <c r="AH134" s="759" t="s">
        <v>2445</v>
      </c>
      <c r="AI134" s="759" t="s">
        <v>2558</v>
      </c>
      <c r="AJ134" s="180"/>
    </row>
    <row r="135" spans="1:36" ht="74.400000000000006" customHeight="1" thickBot="1" x14ac:dyDescent="0.4">
      <c r="A135" s="301"/>
      <c r="B135" s="1199" t="s">
        <v>236</v>
      </c>
      <c r="C135" s="1199" t="s">
        <v>237</v>
      </c>
      <c r="D135" s="452" t="s">
        <v>58</v>
      </c>
      <c r="E135" s="352">
        <v>0.25</v>
      </c>
      <c r="F135" s="480">
        <v>4</v>
      </c>
      <c r="G135" s="481">
        <v>1</v>
      </c>
      <c r="H135" s="482">
        <v>1</v>
      </c>
      <c r="I135" s="483">
        <f t="shared" si="108"/>
        <v>0.25</v>
      </c>
      <c r="J135" s="486">
        <f t="shared" si="109"/>
        <v>0.25</v>
      </c>
      <c r="K135" s="483">
        <f t="shared" si="110"/>
        <v>6.25E-2</v>
      </c>
      <c r="L135" s="486">
        <f t="shared" si="111"/>
        <v>6.25E-2</v>
      </c>
      <c r="M135" s="481">
        <v>0</v>
      </c>
      <c r="N135" s="546">
        <v>0</v>
      </c>
      <c r="O135" s="482">
        <v>0</v>
      </c>
      <c r="P135" s="542">
        <v>0</v>
      </c>
      <c r="Q135" s="542">
        <v>2</v>
      </c>
      <c r="R135" s="542">
        <v>0</v>
      </c>
      <c r="S135" s="482">
        <f t="shared" si="117"/>
        <v>2</v>
      </c>
      <c r="T135" s="482">
        <f t="shared" si="118"/>
        <v>2</v>
      </c>
      <c r="U135" s="483">
        <f t="shared" si="113"/>
        <v>0</v>
      </c>
      <c r="V135" s="1202">
        <v>1</v>
      </c>
      <c r="W135" s="483">
        <f t="shared" si="112"/>
        <v>0</v>
      </c>
      <c r="X135" s="486">
        <f t="shared" si="114"/>
        <v>0.25</v>
      </c>
      <c r="Y135" s="503">
        <f t="shared" si="115"/>
        <v>0</v>
      </c>
      <c r="Z135" s="1203">
        <f t="shared" ref="Z135:Z170" si="119">+T135/F135</f>
        <v>0.5</v>
      </c>
      <c r="AA135" s="503">
        <f t="shared" si="116"/>
        <v>0</v>
      </c>
      <c r="AB135" s="504">
        <f>+Z135*E135</f>
        <v>0.125</v>
      </c>
      <c r="AC135" s="208" t="s">
        <v>1850</v>
      </c>
      <c r="AD135" s="759" t="s">
        <v>1892</v>
      </c>
      <c r="AE135" s="759" t="s">
        <v>2272</v>
      </c>
      <c r="AF135" s="759" t="s">
        <v>2294</v>
      </c>
      <c r="AG135" s="759" t="s">
        <v>2411</v>
      </c>
      <c r="AH135" s="759" t="s">
        <v>2445</v>
      </c>
      <c r="AI135" s="676" t="s">
        <v>2559</v>
      </c>
      <c r="AJ135" s="180"/>
    </row>
    <row r="136" spans="1:36" ht="82.95" customHeight="1" thickBot="1" x14ac:dyDescent="0.4">
      <c r="A136" s="301"/>
      <c r="B136" s="1195" t="s">
        <v>238</v>
      </c>
      <c r="C136" s="1195" t="s">
        <v>239</v>
      </c>
      <c r="D136" s="452" t="s">
        <v>58</v>
      </c>
      <c r="E136" s="352">
        <v>0.2</v>
      </c>
      <c r="F136" s="480">
        <v>1</v>
      </c>
      <c r="G136" s="481">
        <v>0</v>
      </c>
      <c r="H136" s="482">
        <v>0</v>
      </c>
      <c r="I136" s="483"/>
      <c r="J136" s="486"/>
      <c r="K136" s="483"/>
      <c r="L136" s="486"/>
      <c r="M136" s="481"/>
      <c r="N136" s="546"/>
      <c r="O136" s="482"/>
      <c r="P136" s="542"/>
      <c r="Q136" s="542"/>
      <c r="R136" s="542"/>
      <c r="S136" s="482">
        <f t="shared" si="117"/>
        <v>0</v>
      </c>
      <c r="T136" s="482">
        <f t="shared" si="118"/>
        <v>0</v>
      </c>
      <c r="U136" s="483"/>
      <c r="V136" s="486"/>
      <c r="W136" s="483"/>
      <c r="X136" s="486"/>
      <c r="Y136" s="503"/>
      <c r="Z136" s="504">
        <v>0</v>
      </c>
      <c r="AA136" s="503">
        <v>0</v>
      </c>
      <c r="AB136" s="504">
        <v>0</v>
      </c>
      <c r="AC136" s="208" t="s">
        <v>1850</v>
      </c>
      <c r="AD136" s="759" t="s">
        <v>1892</v>
      </c>
      <c r="AE136" s="759" t="s">
        <v>2272</v>
      </c>
      <c r="AF136" s="759" t="s">
        <v>2294</v>
      </c>
      <c r="AG136" s="759" t="s">
        <v>2411</v>
      </c>
      <c r="AH136" s="759" t="s">
        <v>2445</v>
      </c>
      <c r="AI136" s="759" t="s">
        <v>2558</v>
      </c>
      <c r="AJ136" s="180"/>
    </row>
    <row r="137" spans="1:36" ht="80.400000000000006" customHeight="1" thickBot="1" x14ac:dyDescent="0.4">
      <c r="A137" s="301"/>
      <c r="B137" s="1195" t="s">
        <v>240</v>
      </c>
      <c r="C137" s="1195" t="s">
        <v>241</v>
      </c>
      <c r="D137" s="452" t="s">
        <v>58</v>
      </c>
      <c r="E137" s="352">
        <v>0.1</v>
      </c>
      <c r="F137" s="480">
        <v>10</v>
      </c>
      <c r="G137" s="481">
        <v>4</v>
      </c>
      <c r="H137" s="482">
        <v>4</v>
      </c>
      <c r="I137" s="483">
        <f t="shared" si="108"/>
        <v>0.4</v>
      </c>
      <c r="J137" s="486">
        <f t="shared" si="109"/>
        <v>0.4</v>
      </c>
      <c r="K137" s="483">
        <f t="shared" si="110"/>
        <v>4.0000000000000008E-2</v>
      </c>
      <c r="L137" s="486">
        <f t="shared" si="111"/>
        <v>4.0000000000000008E-2</v>
      </c>
      <c r="M137" s="481">
        <v>7</v>
      </c>
      <c r="N137" s="546">
        <v>0</v>
      </c>
      <c r="O137" s="546">
        <v>0</v>
      </c>
      <c r="P137" s="542">
        <v>0</v>
      </c>
      <c r="Q137" s="542">
        <v>0</v>
      </c>
      <c r="R137" s="542">
        <v>0</v>
      </c>
      <c r="S137" s="482">
        <f t="shared" si="117"/>
        <v>0</v>
      </c>
      <c r="T137" s="482">
        <f t="shared" si="118"/>
        <v>7</v>
      </c>
      <c r="U137" s="483">
        <v>1</v>
      </c>
      <c r="V137" s="486">
        <f t="shared" ref="V137:V149" si="120">+S137/H137</f>
        <v>0</v>
      </c>
      <c r="W137" s="483">
        <f t="shared" si="112"/>
        <v>0.1</v>
      </c>
      <c r="X137" s="486">
        <f t="shared" si="114"/>
        <v>0</v>
      </c>
      <c r="Y137" s="503">
        <f t="shared" si="115"/>
        <v>0.7</v>
      </c>
      <c r="Z137" s="504">
        <f t="shared" si="119"/>
        <v>0.7</v>
      </c>
      <c r="AA137" s="503">
        <f>+Y137*E137</f>
        <v>6.9999999999999993E-2</v>
      </c>
      <c r="AB137" s="504">
        <f>+Z137*E137</f>
        <v>6.9999999999999993E-2</v>
      </c>
      <c r="AC137" s="208" t="s">
        <v>1850</v>
      </c>
      <c r="AD137" s="759" t="s">
        <v>1892</v>
      </c>
      <c r="AE137" s="759" t="s">
        <v>2272</v>
      </c>
      <c r="AF137" s="759" t="s">
        <v>2294</v>
      </c>
      <c r="AG137" s="759" t="s">
        <v>2411</v>
      </c>
      <c r="AH137" s="759" t="s">
        <v>2445</v>
      </c>
      <c r="AI137" s="759" t="s">
        <v>2558</v>
      </c>
      <c r="AJ137" s="180"/>
    </row>
    <row r="138" spans="1:36" ht="149.4" customHeight="1" thickBot="1" x14ac:dyDescent="0.4">
      <c r="A138" s="301"/>
      <c r="B138" s="1195" t="s">
        <v>242</v>
      </c>
      <c r="C138" s="1195" t="s">
        <v>243</v>
      </c>
      <c r="D138" s="452" t="s">
        <v>58</v>
      </c>
      <c r="E138" s="352">
        <v>2.5000000000000001E-2</v>
      </c>
      <c r="F138" s="480">
        <v>1</v>
      </c>
      <c r="G138" s="481">
        <v>0</v>
      </c>
      <c r="H138" s="482">
        <v>1</v>
      </c>
      <c r="I138" s="483"/>
      <c r="J138" s="486">
        <f t="shared" si="109"/>
        <v>1</v>
      </c>
      <c r="K138" s="483"/>
      <c r="L138" s="486"/>
      <c r="M138" s="481"/>
      <c r="N138" s="546">
        <v>0</v>
      </c>
      <c r="O138" s="546">
        <v>0</v>
      </c>
      <c r="P138" s="542">
        <v>1</v>
      </c>
      <c r="Q138" s="542"/>
      <c r="R138" s="542"/>
      <c r="S138" s="482">
        <f t="shared" si="117"/>
        <v>1</v>
      </c>
      <c r="T138" s="482">
        <f t="shared" si="118"/>
        <v>1</v>
      </c>
      <c r="U138" s="483"/>
      <c r="V138" s="486">
        <f t="shared" si="120"/>
        <v>1</v>
      </c>
      <c r="W138" s="483"/>
      <c r="X138" s="486">
        <f t="shared" si="114"/>
        <v>2.5000000000000001E-2</v>
      </c>
      <c r="Y138" s="503"/>
      <c r="Z138" s="504">
        <f t="shared" si="119"/>
        <v>1</v>
      </c>
      <c r="AA138" s="503">
        <v>0</v>
      </c>
      <c r="AB138" s="504">
        <f>+Z138*E138</f>
        <v>2.5000000000000001E-2</v>
      </c>
      <c r="AC138" s="208" t="s">
        <v>1850</v>
      </c>
      <c r="AD138" s="759" t="s">
        <v>1892</v>
      </c>
      <c r="AE138" s="759" t="s">
        <v>2272</v>
      </c>
      <c r="AF138" s="759" t="s">
        <v>2294</v>
      </c>
      <c r="AG138" s="662" t="s">
        <v>2365</v>
      </c>
      <c r="AH138" s="759" t="s">
        <v>2445</v>
      </c>
      <c r="AI138" s="759" t="s">
        <v>2558</v>
      </c>
      <c r="AJ138" s="180"/>
    </row>
    <row r="139" spans="1:36" ht="133.19999999999999" customHeight="1" thickBot="1" x14ac:dyDescent="0.4">
      <c r="A139" s="301"/>
      <c r="B139" s="1195" t="s">
        <v>244</v>
      </c>
      <c r="C139" s="1195" t="s">
        <v>245</v>
      </c>
      <c r="D139" s="452" t="s">
        <v>58</v>
      </c>
      <c r="E139" s="352">
        <v>2.5000000000000001E-2</v>
      </c>
      <c r="F139" s="480">
        <v>1</v>
      </c>
      <c r="G139" s="481">
        <v>0.6</v>
      </c>
      <c r="H139" s="482">
        <v>0.4</v>
      </c>
      <c r="I139" s="483">
        <f t="shared" si="108"/>
        <v>0.6</v>
      </c>
      <c r="J139" s="486">
        <f t="shared" si="109"/>
        <v>0.4</v>
      </c>
      <c r="K139" s="483">
        <f t="shared" si="110"/>
        <v>1.4999999999999999E-2</v>
      </c>
      <c r="L139" s="486">
        <f t="shared" si="111"/>
        <v>1.0000000000000002E-2</v>
      </c>
      <c r="M139" s="481">
        <v>0</v>
      </c>
      <c r="N139" s="546">
        <v>0</v>
      </c>
      <c r="O139" s="546">
        <v>0</v>
      </c>
      <c r="P139" s="542">
        <v>0</v>
      </c>
      <c r="Q139" s="542">
        <v>1</v>
      </c>
      <c r="R139" s="542"/>
      <c r="S139" s="482">
        <f t="shared" si="117"/>
        <v>1</v>
      </c>
      <c r="T139" s="482">
        <f t="shared" si="118"/>
        <v>1</v>
      </c>
      <c r="U139" s="483">
        <f t="shared" si="113"/>
        <v>0</v>
      </c>
      <c r="V139" s="486">
        <v>1</v>
      </c>
      <c r="W139" s="483">
        <f t="shared" si="112"/>
        <v>0</v>
      </c>
      <c r="X139" s="486">
        <f t="shared" si="114"/>
        <v>2.5000000000000001E-2</v>
      </c>
      <c r="Y139" s="503">
        <f t="shared" si="115"/>
        <v>0</v>
      </c>
      <c r="Z139" s="566">
        <f t="shared" si="119"/>
        <v>1</v>
      </c>
      <c r="AA139" s="503">
        <f t="shared" si="116"/>
        <v>0</v>
      </c>
      <c r="AB139" s="504">
        <f>+Z139*E139</f>
        <v>2.5000000000000001E-2</v>
      </c>
      <c r="AC139" s="208" t="s">
        <v>1850</v>
      </c>
      <c r="AD139" s="759" t="s">
        <v>1892</v>
      </c>
      <c r="AE139" s="759" t="s">
        <v>2272</v>
      </c>
      <c r="AF139" s="759" t="s">
        <v>2294</v>
      </c>
      <c r="AG139" s="759" t="s">
        <v>2411</v>
      </c>
      <c r="AH139" s="759" t="s">
        <v>2465</v>
      </c>
      <c r="AI139" s="759" t="s">
        <v>2558</v>
      </c>
      <c r="AJ139" s="180"/>
    </row>
    <row r="140" spans="1:36" ht="114.75" customHeight="1" thickBot="1" x14ac:dyDescent="0.45">
      <c r="A140" s="301"/>
      <c r="B140" s="1300" t="s">
        <v>1612</v>
      </c>
      <c r="C140" s="1299"/>
      <c r="D140" s="451"/>
      <c r="E140" s="476">
        <v>0.2</v>
      </c>
      <c r="F140" s="479"/>
      <c r="G140" s="479"/>
      <c r="H140" s="485"/>
      <c r="I140" s="478">
        <f>+AVERAGE(I141:I142)</f>
        <v>0.23392236384704518</v>
      </c>
      <c r="J140" s="478">
        <f>+AVERAGE(J141:J142)</f>
        <v>0.25535921205098494</v>
      </c>
      <c r="K140" s="478">
        <f>+K141+K142</f>
        <v>0.22106025492468134</v>
      </c>
      <c r="L140" s="478">
        <f>+L141+L142</f>
        <v>0.2596465816917729</v>
      </c>
      <c r="M140" s="479"/>
      <c r="N140" s="485"/>
      <c r="O140" s="485"/>
      <c r="P140" s="485"/>
      <c r="Q140" s="485"/>
      <c r="R140" s="1200"/>
      <c r="S140" s="482"/>
      <c r="T140" s="482"/>
      <c r="U140" s="544">
        <f>+AVERAGE(U141:U142)</f>
        <v>0.5</v>
      </c>
      <c r="V140" s="544">
        <f>+AVERAGE(V141:V142)</f>
        <v>1</v>
      </c>
      <c r="W140" s="544">
        <f>+(W141+W142)*E140</f>
        <v>0.18000000000000002</v>
      </c>
      <c r="X140" s="544">
        <f>+(X141+X142)*E140</f>
        <v>0.2</v>
      </c>
      <c r="Y140" s="499">
        <f>+AVERAGE(Y141:Y142)</f>
        <v>0.13789107763615296</v>
      </c>
      <c r="Z140" s="564">
        <f>+AVERAGE(Z141:Z142)</f>
        <v>0.51926419466975671</v>
      </c>
      <c r="AA140" s="499">
        <f>+(AA141+AA142)*E140</f>
        <v>4.9640787949015074E-2</v>
      </c>
      <c r="AB140" s="556">
        <f>+(AB141+AB142)</f>
        <v>0.53467555040556203</v>
      </c>
      <c r="AC140" s="201"/>
      <c r="AD140" s="450"/>
      <c r="AE140" s="450"/>
      <c r="AF140" s="450"/>
      <c r="AG140" s="450"/>
      <c r="AH140" s="450"/>
      <c r="AI140" s="225"/>
      <c r="AJ140" s="180"/>
    </row>
    <row r="141" spans="1:36" ht="120" customHeight="1" thickBot="1" x14ac:dyDescent="0.4">
      <c r="A141" s="301"/>
      <c r="B141" s="1195" t="s">
        <v>246</v>
      </c>
      <c r="C141" s="1195" t="s">
        <v>247</v>
      </c>
      <c r="D141" s="452" t="s">
        <v>58</v>
      </c>
      <c r="E141" s="352">
        <v>0.9</v>
      </c>
      <c r="F141" s="480">
        <v>3452</v>
      </c>
      <c r="G141" s="481">
        <v>752</v>
      </c>
      <c r="H141" s="482">
        <v>900</v>
      </c>
      <c r="I141" s="483">
        <f>+G141/F141</f>
        <v>0.21784472769409038</v>
      </c>
      <c r="J141" s="486">
        <f t="shared" si="109"/>
        <v>0.26071842410196988</v>
      </c>
      <c r="K141" s="483">
        <f>+(G141/F141)*E141</f>
        <v>0.19606025492468135</v>
      </c>
      <c r="L141" s="486">
        <f t="shared" si="111"/>
        <v>0.23464658169177291</v>
      </c>
      <c r="M141" s="481">
        <v>952</v>
      </c>
      <c r="N141" s="546">
        <v>0</v>
      </c>
      <c r="O141" s="542">
        <v>348</v>
      </c>
      <c r="P141" s="542">
        <v>129</v>
      </c>
      <c r="Q141" s="542">
        <v>400</v>
      </c>
      <c r="R141" s="542">
        <v>30</v>
      </c>
      <c r="S141" s="482">
        <f>+N141+O141+P141+Q141+R141</f>
        <v>907</v>
      </c>
      <c r="T141" s="482">
        <f t="shared" si="118"/>
        <v>1859</v>
      </c>
      <c r="U141" s="483">
        <v>1</v>
      </c>
      <c r="V141" s="520">
        <v>1</v>
      </c>
      <c r="W141" s="535">
        <f>+U141*E141</f>
        <v>0.9</v>
      </c>
      <c r="X141" s="520">
        <f t="shared" si="114"/>
        <v>0.9</v>
      </c>
      <c r="Y141" s="560">
        <f>+M141/F141</f>
        <v>0.27578215527230593</v>
      </c>
      <c r="Z141" s="567">
        <f t="shared" si="119"/>
        <v>0.5385283893395133</v>
      </c>
      <c r="AA141" s="560">
        <f>+Y141*E141</f>
        <v>0.24820393974507535</v>
      </c>
      <c r="AB141" s="561">
        <f>+Z141*E141</f>
        <v>0.48467555040556198</v>
      </c>
      <c r="AC141" s="208" t="s">
        <v>1850</v>
      </c>
      <c r="AD141" s="759" t="s">
        <v>1892</v>
      </c>
      <c r="AE141" s="759" t="s">
        <v>2272</v>
      </c>
      <c r="AF141" s="759" t="s">
        <v>2294</v>
      </c>
      <c r="AG141" s="759" t="s">
        <v>2411</v>
      </c>
      <c r="AH141" s="759" t="s">
        <v>2445</v>
      </c>
      <c r="AI141" s="759" t="s">
        <v>2558</v>
      </c>
      <c r="AJ141" s="180"/>
    </row>
    <row r="142" spans="1:36" ht="102" customHeight="1" thickBot="1" x14ac:dyDescent="0.4">
      <c r="A142" s="301"/>
      <c r="B142" s="1195" t="s">
        <v>248</v>
      </c>
      <c r="C142" s="1195" t="s">
        <v>249</v>
      </c>
      <c r="D142" s="452" t="s">
        <v>58</v>
      </c>
      <c r="E142" s="352">
        <v>0.1</v>
      </c>
      <c r="F142" s="480">
        <v>4</v>
      </c>
      <c r="G142" s="481">
        <v>1</v>
      </c>
      <c r="H142" s="482">
        <v>1</v>
      </c>
      <c r="I142" s="483">
        <f>+G142/F142</f>
        <v>0.25</v>
      </c>
      <c r="J142" s="486">
        <f t="shared" si="109"/>
        <v>0.25</v>
      </c>
      <c r="K142" s="483">
        <f>+(G142/F142)*E142</f>
        <v>2.5000000000000001E-2</v>
      </c>
      <c r="L142" s="486">
        <f t="shared" si="111"/>
        <v>2.5000000000000001E-2</v>
      </c>
      <c r="M142" s="481">
        <v>0</v>
      </c>
      <c r="N142" s="546">
        <v>0</v>
      </c>
      <c r="O142" s="542">
        <v>0</v>
      </c>
      <c r="P142" s="542">
        <v>0</v>
      </c>
      <c r="Q142" s="542">
        <v>1</v>
      </c>
      <c r="R142" s="542">
        <v>1</v>
      </c>
      <c r="S142" s="482">
        <f>+N142+O142+P142+Q142+R142</f>
        <v>2</v>
      </c>
      <c r="T142" s="482">
        <f t="shared" si="118"/>
        <v>2</v>
      </c>
      <c r="U142" s="483">
        <f>+(M142/G142)</f>
        <v>0</v>
      </c>
      <c r="V142" s="520">
        <v>1</v>
      </c>
      <c r="W142" s="535">
        <f>+U142*E142</f>
        <v>0</v>
      </c>
      <c r="X142" s="520">
        <f>+V142*E142</f>
        <v>0.1</v>
      </c>
      <c r="Y142" s="560">
        <f>+M142/F142</f>
        <v>0</v>
      </c>
      <c r="Z142" s="562">
        <f t="shared" si="119"/>
        <v>0.5</v>
      </c>
      <c r="AA142" s="560">
        <f>+Y142*E142</f>
        <v>0</v>
      </c>
      <c r="AB142" s="561">
        <f>+Z142*E142</f>
        <v>0.05</v>
      </c>
      <c r="AC142" s="208" t="s">
        <v>1850</v>
      </c>
      <c r="AD142" s="759" t="s">
        <v>1892</v>
      </c>
      <c r="AE142" s="759" t="s">
        <v>2272</v>
      </c>
      <c r="AF142" s="759" t="s">
        <v>2294</v>
      </c>
      <c r="AG142" s="759" t="s">
        <v>2411</v>
      </c>
      <c r="AH142" s="759" t="s">
        <v>2445</v>
      </c>
      <c r="AI142" s="759" t="s">
        <v>2558</v>
      </c>
      <c r="AJ142" s="180"/>
    </row>
    <row r="143" spans="1:36" ht="72" customHeight="1" thickBot="1" x14ac:dyDescent="0.45">
      <c r="A143" s="301"/>
      <c r="B143" s="1300" t="s">
        <v>1613</v>
      </c>
      <c r="C143" s="1299"/>
      <c r="D143" s="451"/>
      <c r="E143" s="476">
        <v>0.1</v>
      </c>
      <c r="F143" s="480"/>
      <c r="G143" s="479"/>
      <c r="H143" s="485"/>
      <c r="I143" s="478">
        <f>+AVERAGE(I144:I147)</f>
        <v>0.25</v>
      </c>
      <c r="J143" s="478">
        <f>+AVERAGE(J144:J147)</f>
        <v>0.27083333333333337</v>
      </c>
      <c r="K143" s="478">
        <f>+K144+K145+K146+K147</f>
        <v>0.25</v>
      </c>
      <c r="L143" s="478">
        <f>+L144+L145+L146+L147</f>
        <v>0.28000000000000003</v>
      </c>
      <c r="M143" s="479"/>
      <c r="N143" s="485"/>
      <c r="O143" s="485"/>
      <c r="P143" s="485"/>
      <c r="Q143" s="485"/>
      <c r="R143" s="1200"/>
      <c r="S143" s="485"/>
      <c r="T143" s="485"/>
      <c r="U143" s="544">
        <f>+AVERAGE(U144:U147)</f>
        <v>0.81166666666666665</v>
      </c>
      <c r="V143" s="544">
        <f>+AVERAGE(V144:V147)</f>
        <v>0.98529411764705888</v>
      </c>
      <c r="W143" s="544">
        <f>+(W144+W145+W146+W147)*E143</f>
        <v>7.9200000000000007E-2</v>
      </c>
      <c r="X143" s="544">
        <f>+(X144+X145+X146+X147)*E143</f>
        <v>9.823529411764706E-2</v>
      </c>
      <c r="Y143" s="499">
        <f>+AVERAGE(Y144:Y147)</f>
        <v>0.20291666666666666</v>
      </c>
      <c r="Z143" s="564">
        <f>+AVERAGE(Z144:Z147)</f>
        <v>0.46958333333333335</v>
      </c>
      <c r="AA143" s="499">
        <f>+(AA144+AA145+AA146+AA147)*E143</f>
        <v>1.9800000000000002E-2</v>
      </c>
      <c r="AB143" s="556">
        <f>+(AB144+AB145+AB146+AB147)</f>
        <v>0.47299999999999998</v>
      </c>
      <c r="AC143" s="201"/>
      <c r="AD143" s="450"/>
      <c r="AE143" s="450"/>
      <c r="AF143" s="450"/>
      <c r="AG143" s="450"/>
      <c r="AH143" s="450"/>
      <c r="AI143" s="225"/>
      <c r="AJ143" s="180"/>
    </row>
    <row r="144" spans="1:36" ht="84" customHeight="1" thickBot="1" x14ac:dyDescent="0.4">
      <c r="A144" s="301"/>
      <c r="B144" s="1195" t="s">
        <v>250</v>
      </c>
      <c r="C144" s="1195" t="s">
        <v>251</v>
      </c>
      <c r="D144" s="452" t="s">
        <v>58</v>
      </c>
      <c r="E144" s="352">
        <v>0.4</v>
      </c>
      <c r="F144" s="480">
        <v>200</v>
      </c>
      <c r="G144" s="481">
        <v>50</v>
      </c>
      <c r="H144" s="482">
        <v>60</v>
      </c>
      <c r="I144" s="483">
        <f>+G144/F144</f>
        <v>0.25</v>
      </c>
      <c r="J144" s="486">
        <f t="shared" si="109"/>
        <v>0.3</v>
      </c>
      <c r="K144" s="483">
        <f>+(G144/F144)*E144</f>
        <v>0.1</v>
      </c>
      <c r="L144" s="486">
        <f t="shared" si="111"/>
        <v>0.12</v>
      </c>
      <c r="M144" s="481">
        <v>39</v>
      </c>
      <c r="N144" s="546">
        <v>0</v>
      </c>
      <c r="O144" s="542">
        <v>0</v>
      </c>
      <c r="P144" s="542">
        <v>0</v>
      </c>
      <c r="Q144" s="542">
        <v>60</v>
      </c>
      <c r="R144" s="542"/>
      <c r="S144" s="482">
        <f>+N144+O144+P144+Q144+R144</f>
        <v>60</v>
      </c>
      <c r="T144" s="482">
        <f t="shared" si="118"/>
        <v>99</v>
      </c>
      <c r="U144" s="483">
        <f>+(M144/G144)</f>
        <v>0.78</v>
      </c>
      <c r="V144" s="520">
        <f t="shared" si="120"/>
        <v>1</v>
      </c>
      <c r="W144" s="535">
        <f>+U144*E144</f>
        <v>0.31200000000000006</v>
      </c>
      <c r="X144" s="520">
        <f t="shared" ref="X144:X170" si="121">+V144*E144</f>
        <v>0.4</v>
      </c>
      <c r="Y144" s="560">
        <f>+M144/F144</f>
        <v>0.19500000000000001</v>
      </c>
      <c r="Z144" s="567">
        <f t="shared" si="119"/>
        <v>0.495</v>
      </c>
      <c r="AA144" s="560">
        <f>+Y144*E144</f>
        <v>7.8000000000000014E-2</v>
      </c>
      <c r="AB144" s="561">
        <f>+Z144*E144</f>
        <v>0.19800000000000001</v>
      </c>
      <c r="AC144" s="208" t="s">
        <v>1850</v>
      </c>
      <c r="AD144" s="759" t="s">
        <v>1892</v>
      </c>
      <c r="AE144" s="759" t="s">
        <v>2272</v>
      </c>
      <c r="AF144" s="759" t="s">
        <v>2294</v>
      </c>
      <c r="AG144" s="759" t="s">
        <v>2411</v>
      </c>
      <c r="AH144" s="759" t="s">
        <v>2445</v>
      </c>
      <c r="AI144" s="759" t="s">
        <v>2558</v>
      </c>
      <c r="AJ144" s="180"/>
    </row>
    <row r="145" spans="1:36" ht="101.4" customHeight="1" thickBot="1" x14ac:dyDescent="0.4">
      <c r="A145" s="301"/>
      <c r="B145" s="1195" t="s">
        <v>252</v>
      </c>
      <c r="C145" s="1195" t="s">
        <v>253</v>
      </c>
      <c r="D145" s="452" t="s">
        <v>58</v>
      </c>
      <c r="E145" s="352">
        <v>0.1</v>
      </c>
      <c r="F145" s="480">
        <v>4</v>
      </c>
      <c r="G145" s="481">
        <v>1</v>
      </c>
      <c r="H145" s="482">
        <v>1</v>
      </c>
      <c r="I145" s="483">
        <f>+G145/F145</f>
        <v>0.25</v>
      </c>
      <c r="J145" s="486">
        <f t="shared" si="109"/>
        <v>0.25</v>
      </c>
      <c r="K145" s="483">
        <f>+(G145/F145)*E145</f>
        <v>2.5000000000000001E-2</v>
      </c>
      <c r="L145" s="486">
        <f t="shared" si="111"/>
        <v>2.5000000000000001E-2</v>
      </c>
      <c r="M145" s="481">
        <v>1</v>
      </c>
      <c r="N145" s="546">
        <v>0</v>
      </c>
      <c r="O145" s="542">
        <v>0</v>
      </c>
      <c r="P145" s="542">
        <v>0</v>
      </c>
      <c r="Q145" s="542">
        <v>0</v>
      </c>
      <c r="R145" s="542">
        <v>1</v>
      </c>
      <c r="S145" s="482">
        <f t="shared" ref="S145:S147" si="122">+N145+O145+P145+Q145+R145</f>
        <v>1</v>
      </c>
      <c r="T145" s="482">
        <f t="shared" si="118"/>
        <v>2</v>
      </c>
      <c r="U145" s="483">
        <f>+(M145/G145)</f>
        <v>1</v>
      </c>
      <c r="V145" s="520">
        <f t="shared" si="120"/>
        <v>1</v>
      </c>
      <c r="W145" s="535">
        <f>+U145*E145</f>
        <v>0.1</v>
      </c>
      <c r="X145" s="520">
        <f t="shared" si="121"/>
        <v>0.1</v>
      </c>
      <c r="Y145" s="560">
        <f>+M145/F145</f>
        <v>0.25</v>
      </c>
      <c r="Z145" s="561">
        <f t="shared" si="119"/>
        <v>0.5</v>
      </c>
      <c r="AA145" s="560">
        <f>+Y145*E145</f>
        <v>2.5000000000000001E-2</v>
      </c>
      <c r="AB145" s="561">
        <f>+Z145*E145</f>
        <v>0.05</v>
      </c>
      <c r="AC145" s="208" t="s">
        <v>1850</v>
      </c>
      <c r="AD145" s="759" t="s">
        <v>1892</v>
      </c>
      <c r="AE145" s="759" t="s">
        <v>2272</v>
      </c>
      <c r="AF145" s="759" t="s">
        <v>2294</v>
      </c>
      <c r="AG145" s="759" t="s">
        <v>2411</v>
      </c>
      <c r="AH145" s="759" t="s">
        <v>2445</v>
      </c>
      <c r="AI145" s="759" t="s">
        <v>2558</v>
      </c>
      <c r="AJ145" s="180"/>
    </row>
    <row r="146" spans="1:36" ht="101.4" customHeight="1" thickBot="1" x14ac:dyDescent="0.4">
      <c r="A146" s="301"/>
      <c r="B146" s="1195" t="s">
        <v>254</v>
      </c>
      <c r="C146" s="1195" t="s">
        <v>255</v>
      </c>
      <c r="D146" s="452" t="s">
        <v>58</v>
      </c>
      <c r="E146" s="352">
        <v>0.2</v>
      </c>
      <c r="F146" s="480">
        <v>20</v>
      </c>
      <c r="G146" s="481">
        <v>5</v>
      </c>
      <c r="H146" s="482">
        <v>5</v>
      </c>
      <c r="I146" s="483">
        <f>+G146/F146</f>
        <v>0.25</v>
      </c>
      <c r="J146" s="486">
        <f t="shared" si="109"/>
        <v>0.25</v>
      </c>
      <c r="K146" s="483">
        <f>+(G146/F146)*E146</f>
        <v>0.05</v>
      </c>
      <c r="L146" s="486">
        <f t="shared" si="111"/>
        <v>0.05</v>
      </c>
      <c r="M146" s="481">
        <v>3</v>
      </c>
      <c r="N146" s="546">
        <v>0</v>
      </c>
      <c r="O146" s="542">
        <v>0</v>
      </c>
      <c r="P146" s="542">
        <v>1</v>
      </c>
      <c r="Q146" s="542">
        <v>3</v>
      </c>
      <c r="R146" s="542">
        <v>1</v>
      </c>
      <c r="S146" s="482">
        <f t="shared" si="122"/>
        <v>5</v>
      </c>
      <c r="T146" s="482">
        <f t="shared" si="118"/>
        <v>8</v>
      </c>
      <c r="U146" s="483">
        <f>+(M146/G146)</f>
        <v>0.6</v>
      </c>
      <c r="V146" s="520">
        <f t="shared" si="120"/>
        <v>1</v>
      </c>
      <c r="W146" s="535">
        <f>+U146*E146</f>
        <v>0.12</v>
      </c>
      <c r="X146" s="520">
        <f t="shared" si="121"/>
        <v>0.2</v>
      </c>
      <c r="Y146" s="560">
        <f>+M146/F146</f>
        <v>0.15</v>
      </c>
      <c r="Z146" s="561">
        <f t="shared" si="119"/>
        <v>0.4</v>
      </c>
      <c r="AA146" s="560">
        <f>+Y146*E146</f>
        <v>0.03</v>
      </c>
      <c r="AB146" s="561">
        <f>+Z146*E146</f>
        <v>8.0000000000000016E-2</v>
      </c>
      <c r="AC146" s="208" t="s">
        <v>1850</v>
      </c>
      <c r="AD146" s="759" t="s">
        <v>1892</v>
      </c>
      <c r="AE146" s="759" t="s">
        <v>2272</v>
      </c>
      <c r="AF146" s="759" t="s">
        <v>2294</v>
      </c>
      <c r="AG146" s="759" t="s">
        <v>2411</v>
      </c>
      <c r="AH146" s="759" t="s">
        <v>2445</v>
      </c>
      <c r="AI146" s="759" t="s">
        <v>2558</v>
      </c>
      <c r="AJ146" s="180"/>
    </row>
    <row r="147" spans="1:36" ht="82.95" customHeight="1" thickBot="1" x14ac:dyDescent="0.4">
      <c r="A147" s="301"/>
      <c r="B147" s="1204" t="s">
        <v>1561</v>
      </c>
      <c r="C147" s="1205" t="s">
        <v>1562</v>
      </c>
      <c r="D147" s="452" t="s">
        <v>58</v>
      </c>
      <c r="E147" s="352">
        <v>0.3</v>
      </c>
      <c r="F147" s="534">
        <v>60</v>
      </c>
      <c r="G147" s="481">
        <v>15</v>
      </c>
      <c r="H147" s="543">
        <v>17</v>
      </c>
      <c r="I147" s="483">
        <f>+G147/F147</f>
        <v>0.25</v>
      </c>
      <c r="J147" s="486">
        <f t="shared" si="109"/>
        <v>0.28333333333333333</v>
      </c>
      <c r="K147" s="483">
        <f>+(G147/F147)*E147</f>
        <v>7.4999999999999997E-2</v>
      </c>
      <c r="L147" s="486">
        <f t="shared" si="111"/>
        <v>8.4999999999999992E-2</v>
      </c>
      <c r="M147" s="482">
        <v>13</v>
      </c>
      <c r="N147" s="546">
        <v>0</v>
      </c>
      <c r="O147" s="542">
        <v>13</v>
      </c>
      <c r="P147" s="542">
        <v>0</v>
      </c>
      <c r="Q147" s="542">
        <v>3</v>
      </c>
      <c r="R147" s="542">
        <v>0</v>
      </c>
      <c r="S147" s="482">
        <f t="shared" si="122"/>
        <v>16</v>
      </c>
      <c r="T147" s="482">
        <f t="shared" si="118"/>
        <v>29</v>
      </c>
      <c r="U147" s="483">
        <f>+(M147/G147)</f>
        <v>0.8666666666666667</v>
      </c>
      <c r="V147" s="520">
        <f t="shared" si="120"/>
        <v>0.94117647058823528</v>
      </c>
      <c r="W147" s="535">
        <f>+U147*E147</f>
        <v>0.26</v>
      </c>
      <c r="X147" s="520">
        <f t="shared" si="121"/>
        <v>0.28235294117647058</v>
      </c>
      <c r="Y147" s="560">
        <f>+M147/F147</f>
        <v>0.21666666666666667</v>
      </c>
      <c r="Z147" s="562">
        <f t="shared" si="119"/>
        <v>0.48333333333333334</v>
      </c>
      <c r="AA147" s="560">
        <f>+Y147*E147</f>
        <v>6.5000000000000002E-2</v>
      </c>
      <c r="AB147" s="561">
        <f>+Z147*E147</f>
        <v>0.14499999999999999</v>
      </c>
      <c r="AC147" s="208" t="s">
        <v>1850</v>
      </c>
      <c r="AD147" s="759" t="s">
        <v>1892</v>
      </c>
      <c r="AE147" s="759" t="s">
        <v>2272</v>
      </c>
      <c r="AF147" s="759" t="s">
        <v>2294</v>
      </c>
      <c r="AG147" s="759" t="s">
        <v>2411</v>
      </c>
      <c r="AH147" s="759" t="s">
        <v>2445</v>
      </c>
      <c r="AI147" s="759" t="s">
        <v>2558</v>
      </c>
      <c r="AJ147" s="180"/>
    </row>
    <row r="148" spans="1:36" ht="86.25" customHeight="1" thickBot="1" x14ac:dyDescent="0.45">
      <c r="A148" s="301"/>
      <c r="B148" s="1300" t="s">
        <v>1614</v>
      </c>
      <c r="C148" s="1299"/>
      <c r="D148" s="451"/>
      <c r="E148" s="476">
        <v>0.2</v>
      </c>
      <c r="F148" s="480"/>
      <c r="G148" s="479"/>
      <c r="H148" s="485"/>
      <c r="I148" s="478">
        <f>+AVERAGE(I149:I152)</f>
        <v>0.25</v>
      </c>
      <c r="J148" s="478">
        <f>+AVERAGE(J149:J152)</f>
        <v>0.22500000000000001</v>
      </c>
      <c r="K148" s="478">
        <f>+K149+K150+K151+K152</f>
        <v>0.15000000000000002</v>
      </c>
      <c r="L148" s="478">
        <f>+L149+L150+L151+L152</f>
        <v>0.20374999999999999</v>
      </c>
      <c r="M148" s="479"/>
      <c r="N148" s="485"/>
      <c r="O148" s="485"/>
      <c r="P148" s="485"/>
      <c r="Q148" s="485"/>
      <c r="R148" s="1200"/>
      <c r="S148" s="485"/>
      <c r="T148" s="485"/>
      <c r="U148" s="544">
        <f>+AVERAGE(U149:U152)</f>
        <v>1</v>
      </c>
      <c r="V148" s="544">
        <f>+AVERAGE(V149:V152)</f>
        <v>1</v>
      </c>
      <c r="W148" s="544">
        <f>+(W149+W150+W151+W152)*E148</f>
        <v>0.12000000000000002</v>
      </c>
      <c r="X148" s="544">
        <f>+(X149+X150+X151+X152)*E148</f>
        <v>0.2</v>
      </c>
      <c r="Y148" s="499">
        <f>+AVERAGE(Y149:Y152)</f>
        <v>0.40833333333333338</v>
      </c>
      <c r="Z148" s="564">
        <f>+AVERAGE(Z149:Z152)</f>
        <v>0.55000000000000004</v>
      </c>
      <c r="AA148" s="499">
        <f>+(AA149+AA150+AA151+AA152)*E148</f>
        <v>4.4250000000000005E-2</v>
      </c>
      <c r="AB148" s="556">
        <f>+(AB149+AB150+AB151+AB152)</f>
        <v>0.45500000000000002</v>
      </c>
      <c r="AC148" s="201"/>
      <c r="AD148" s="759" t="s">
        <v>2000</v>
      </c>
      <c r="AE148" s="759" t="s">
        <v>2273</v>
      </c>
      <c r="AF148" s="450"/>
      <c r="AG148" s="450"/>
      <c r="AH148" s="450"/>
      <c r="AI148" s="225"/>
      <c r="AJ148" s="180"/>
    </row>
    <row r="149" spans="1:36" ht="68.400000000000006" customHeight="1" thickBot="1" x14ac:dyDescent="0.4">
      <c r="A149" s="301"/>
      <c r="B149" s="1204" t="s">
        <v>256</v>
      </c>
      <c r="C149" s="1204" t="s">
        <v>257</v>
      </c>
      <c r="D149" s="452" t="s">
        <v>58</v>
      </c>
      <c r="E149" s="352">
        <v>0.05</v>
      </c>
      <c r="F149" s="480">
        <v>4</v>
      </c>
      <c r="G149" s="481">
        <v>1</v>
      </c>
      <c r="H149" s="482">
        <v>1</v>
      </c>
      <c r="I149" s="483">
        <f>+G149/F149</f>
        <v>0.25</v>
      </c>
      <c r="J149" s="486">
        <f t="shared" si="109"/>
        <v>0.25</v>
      </c>
      <c r="K149" s="483">
        <f>+(G149/F149)*E149</f>
        <v>1.2500000000000001E-2</v>
      </c>
      <c r="L149" s="486">
        <f t="shared" si="111"/>
        <v>1.2500000000000001E-2</v>
      </c>
      <c r="M149" s="482">
        <v>1</v>
      </c>
      <c r="N149" s="542">
        <v>0</v>
      </c>
      <c r="O149" s="542">
        <v>1</v>
      </c>
      <c r="P149" s="542">
        <v>0</v>
      </c>
      <c r="Q149" s="542">
        <v>0</v>
      </c>
      <c r="R149" s="542">
        <v>0</v>
      </c>
      <c r="S149" s="482">
        <f>+N149+O149+P149+Q149+R149</f>
        <v>1</v>
      </c>
      <c r="T149" s="482">
        <f t="shared" si="118"/>
        <v>2</v>
      </c>
      <c r="U149" s="483">
        <f>+(M149/G149)</f>
        <v>1</v>
      </c>
      <c r="V149" s="520">
        <f t="shared" si="120"/>
        <v>1</v>
      </c>
      <c r="W149" s="535">
        <f>+U149*E149</f>
        <v>0.05</v>
      </c>
      <c r="X149" s="520">
        <f t="shared" si="121"/>
        <v>0.05</v>
      </c>
      <c r="Y149" s="560">
        <f>+M149/F149</f>
        <v>0.25</v>
      </c>
      <c r="Z149" s="567">
        <f t="shared" si="119"/>
        <v>0.5</v>
      </c>
      <c r="AA149" s="560">
        <f>+Y149*E149</f>
        <v>1.2500000000000001E-2</v>
      </c>
      <c r="AB149" s="561">
        <f>+Z149*E149</f>
        <v>2.5000000000000001E-2</v>
      </c>
      <c r="AC149" s="208" t="s">
        <v>1850</v>
      </c>
      <c r="AD149" s="759" t="s">
        <v>1892</v>
      </c>
      <c r="AE149" s="759" t="s">
        <v>2272</v>
      </c>
      <c r="AF149" s="759" t="s">
        <v>2294</v>
      </c>
      <c r="AG149" s="759" t="s">
        <v>2411</v>
      </c>
      <c r="AH149" s="759" t="s">
        <v>2445</v>
      </c>
      <c r="AI149" s="759" t="s">
        <v>2558</v>
      </c>
      <c r="AJ149" s="180"/>
    </row>
    <row r="150" spans="1:36" ht="84.6" customHeight="1" thickBot="1" x14ac:dyDescent="0.4">
      <c r="A150" s="301"/>
      <c r="B150" s="1204" t="s">
        <v>258</v>
      </c>
      <c r="C150" s="1204" t="s">
        <v>259</v>
      </c>
      <c r="D150" s="452" t="s">
        <v>58</v>
      </c>
      <c r="E150" s="352">
        <v>0.15</v>
      </c>
      <c r="F150" s="480">
        <v>40</v>
      </c>
      <c r="G150" s="481">
        <v>10</v>
      </c>
      <c r="H150" s="543">
        <v>11</v>
      </c>
      <c r="I150" s="483">
        <f>+G150/F150</f>
        <v>0.25</v>
      </c>
      <c r="J150" s="486">
        <f t="shared" si="109"/>
        <v>0.27500000000000002</v>
      </c>
      <c r="K150" s="483">
        <f>+(G150/F150)*E150</f>
        <v>3.7499999999999999E-2</v>
      </c>
      <c r="L150" s="486">
        <f t="shared" si="111"/>
        <v>4.1250000000000002E-2</v>
      </c>
      <c r="M150" s="482">
        <v>29</v>
      </c>
      <c r="N150" s="542">
        <v>2</v>
      </c>
      <c r="O150" s="542">
        <v>4</v>
      </c>
      <c r="P150" s="542">
        <v>1</v>
      </c>
      <c r="Q150" s="542">
        <v>6</v>
      </c>
      <c r="R150" s="542">
        <v>4</v>
      </c>
      <c r="S150" s="482">
        <f t="shared" ref="S150:S152" si="123">+N150+O150+P150+Q150+R150</f>
        <v>17</v>
      </c>
      <c r="T150" s="482">
        <f t="shared" si="118"/>
        <v>46</v>
      </c>
      <c r="U150" s="483">
        <v>1</v>
      </c>
      <c r="V150" s="520">
        <v>1</v>
      </c>
      <c r="W150" s="535">
        <f>+U150*E150</f>
        <v>0.15</v>
      </c>
      <c r="X150" s="520">
        <f t="shared" si="121"/>
        <v>0.15</v>
      </c>
      <c r="Y150" s="560">
        <f>+M150/F150</f>
        <v>0.72499999999999998</v>
      </c>
      <c r="Z150" s="561">
        <v>1</v>
      </c>
      <c r="AA150" s="560">
        <f>+Y150*E150</f>
        <v>0.10875</v>
      </c>
      <c r="AB150" s="561">
        <f>+Z150*E150</f>
        <v>0.15</v>
      </c>
      <c r="AC150" s="208" t="s">
        <v>1850</v>
      </c>
      <c r="AD150" s="759" t="s">
        <v>1892</v>
      </c>
      <c r="AE150" s="759" t="s">
        <v>2272</v>
      </c>
      <c r="AF150" s="759" t="s">
        <v>2294</v>
      </c>
      <c r="AG150" s="759" t="s">
        <v>2411</v>
      </c>
      <c r="AH150" s="759" t="s">
        <v>2450</v>
      </c>
      <c r="AI150" s="759" t="s">
        <v>2562</v>
      </c>
      <c r="AJ150" s="180"/>
    </row>
    <row r="151" spans="1:36" ht="98.4" customHeight="1" thickBot="1" x14ac:dyDescent="0.4">
      <c r="A151" s="301"/>
      <c r="B151" s="1204" t="s">
        <v>260</v>
      </c>
      <c r="C151" s="1204" t="s">
        <v>261</v>
      </c>
      <c r="D151" s="456" t="s">
        <v>58</v>
      </c>
      <c r="E151" s="379">
        <v>0.4</v>
      </c>
      <c r="F151" s="480">
        <f>80*4</f>
        <v>320</v>
      </c>
      <c r="G151" s="481">
        <v>80</v>
      </c>
      <c r="H151" s="482">
        <v>80</v>
      </c>
      <c r="I151" s="483">
        <f>+G151/F151</f>
        <v>0.25</v>
      </c>
      <c r="J151" s="486">
        <f t="shared" si="109"/>
        <v>0.25</v>
      </c>
      <c r="K151" s="483">
        <f>+(G151/F151)*E151</f>
        <v>0.1</v>
      </c>
      <c r="L151" s="486">
        <f t="shared" si="111"/>
        <v>0.1</v>
      </c>
      <c r="M151" s="482">
        <v>80</v>
      </c>
      <c r="N151" s="542">
        <v>20</v>
      </c>
      <c r="O151" s="542">
        <v>20</v>
      </c>
      <c r="P151" s="542">
        <v>20</v>
      </c>
      <c r="Q151" s="542">
        <v>20</v>
      </c>
      <c r="R151" s="542">
        <v>0</v>
      </c>
      <c r="S151" s="482">
        <f t="shared" si="123"/>
        <v>80</v>
      </c>
      <c r="T151" s="482">
        <f t="shared" si="118"/>
        <v>160</v>
      </c>
      <c r="U151" s="483">
        <f>+(M151/G151)</f>
        <v>1</v>
      </c>
      <c r="V151" s="520">
        <v>1</v>
      </c>
      <c r="W151" s="535">
        <f>+U151*E151</f>
        <v>0.4</v>
      </c>
      <c r="X151" s="520">
        <f t="shared" si="121"/>
        <v>0.4</v>
      </c>
      <c r="Y151" s="560">
        <f>+M151/F151</f>
        <v>0.25</v>
      </c>
      <c r="Z151" s="562">
        <f t="shared" si="119"/>
        <v>0.5</v>
      </c>
      <c r="AA151" s="560">
        <f>+Y151*E151</f>
        <v>0.1</v>
      </c>
      <c r="AB151" s="561">
        <f>+Z151*E151</f>
        <v>0.2</v>
      </c>
      <c r="AC151" s="208" t="s">
        <v>1850</v>
      </c>
      <c r="AD151" s="654" t="s">
        <v>1935</v>
      </c>
      <c r="AE151" s="759" t="s">
        <v>2272</v>
      </c>
      <c r="AF151" s="759" t="s">
        <v>2294</v>
      </c>
      <c r="AG151" s="759" t="s">
        <v>2411</v>
      </c>
      <c r="AH151" s="759" t="s">
        <v>2445</v>
      </c>
      <c r="AI151" s="759" t="s">
        <v>2558</v>
      </c>
      <c r="AJ151" s="180"/>
    </row>
    <row r="152" spans="1:36" ht="89.4" customHeight="1" thickBot="1" x14ac:dyDescent="0.4">
      <c r="A152" s="301"/>
      <c r="B152" s="1204" t="s">
        <v>262</v>
      </c>
      <c r="C152" s="1204" t="s">
        <v>263</v>
      </c>
      <c r="D152" s="452" t="s">
        <v>58</v>
      </c>
      <c r="E152" s="352">
        <v>0.4</v>
      </c>
      <c r="F152" s="480">
        <v>80</v>
      </c>
      <c r="G152" s="481">
        <v>0</v>
      </c>
      <c r="H152" s="482">
        <v>10</v>
      </c>
      <c r="I152" s="483"/>
      <c r="J152" s="486">
        <f t="shared" si="109"/>
        <v>0.125</v>
      </c>
      <c r="K152" s="483"/>
      <c r="L152" s="486">
        <f t="shared" si="111"/>
        <v>0.05</v>
      </c>
      <c r="M152" s="482"/>
      <c r="N152" s="542">
        <v>3</v>
      </c>
      <c r="O152" s="542">
        <v>7</v>
      </c>
      <c r="P152" s="542">
        <v>6</v>
      </c>
      <c r="Q152" s="542">
        <v>0</v>
      </c>
      <c r="R152" s="542">
        <v>0</v>
      </c>
      <c r="S152" s="482">
        <f t="shared" si="123"/>
        <v>16</v>
      </c>
      <c r="T152" s="482">
        <f t="shared" si="118"/>
        <v>16</v>
      </c>
      <c r="U152" s="483"/>
      <c r="V152" s="520">
        <v>1</v>
      </c>
      <c r="W152" s="535"/>
      <c r="X152" s="520">
        <f t="shared" si="121"/>
        <v>0.4</v>
      </c>
      <c r="Y152" s="560"/>
      <c r="Z152" s="562">
        <f t="shared" si="119"/>
        <v>0.2</v>
      </c>
      <c r="AA152" s="560"/>
      <c r="AB152" s="561">
        <f>+Z152*E152</f>
        <v>8.0000000000000016E-2</v>
      </c>
      <c r="AC152" s="208" t="s">
        <v>1850</v>
      </c>
      <c r="AD152" s="759" t="s">
        <v>1892</v>
      </c>
      <c r="AE152" s="759" t="s">
        <v>2272</v>
      </c>
      <c r="AF152" s="759" t="s">
        <v>2294</v>
      </c>
      <c r="AG152" s="759" t="s">
        <v>2411</v>
      </c>
      <c r="AH152" s="759" t="s">
        <v>2445</v>
      </c>
      <c r="AI152" s="759" t="s">
        <v>2558</v>
      </c>
      <c r="AJ152" s="180"/>
    </row>
    <row r="153" spans="1:36" ht="80.400000000000006" customHeight="1" thickBot="1" x14ac:dyDescent="0.45">
      <c r="A153" s="301"/>
      <c r="B153" s="1300" t="s">
        <v>1615</v>
      </c>
      <c r="C153" s="1299"/>
      <c r="D153" s="451"/>
      <c r="E153" s="476">
        <v>0.05</v>
      </c>
      <c r="F153" s="480"/>
      <c r="G153" s="479"/>
      <c r="H153" s="485"/>
      <c r="I153" s="478">
        <f>+AVERAGE(I154:I159)</f>
        <v>0.625</v>
      </c>
      <c r="J153" s="478">
        <f>+AVERAGE(J154:J159)</f>
        <v>0.45611434329197087</v>
      </c>
      <c r="K153" s="478">
        <f>+K154+K155+K156+K157+K158+K159</f>
        <v>6.25E-2</v>
      </c>
      <c r="L153" s="478">
        <f>+L154+L155+L156+L157+L158+L159</f>
        <v>0.36258775084671224</v>
      </c>
      <c r="M153" s="479"/>
      <c r="N153" s="485"/>
      <c r="O153" s="485"/>
      <c r="P153" s="485"/>
      <c r="Q153" s="485"/>
      <c r="R153" s="1200"/>
      <c r="S153" s="485"/>
      <c r="T153" s="485"/>
      <c r="U153" s="544">
        <f>+AVERAGE(U154:U159)</f>
        <v>0.5</v>
      </c>
      <c r="V153" s="544">
        <f>+AVERAGE(V154:V159)</f>
        <v>0.96026666666666682</v>
      </c>
      <c r="W153" s="544">
        <f>+(W154+W155+W156+W157+W158+W159)*E153</f>
        <v>2.5000000000000005E-3</v>
      </c>
      <c r="X153" s="544">
        <f>+(X154+X155+X156+X157+X158+X159)*E153</f>
        <v>4.4023333333333331E-2</v>
      </c>
      <c r="Y153" s="499">
        <f>+AVERAGE(Y154:Y159)</f>
        <v>0.25</v>
      </c>
      <c r="Z153" s="564">
        <f>+AVERAGE(Z154:Z159)</f>
        <v>0.61533235743409687</v>
      </c>
      <c r="AA153" s="499">
        <f>+(AA154+AA155+AA156+AA157+AA158+AA159)*E153</f>
        <v>1.2500000000000002E-3</v>
      </c>
      <c r="AB153" s="556">
        <f>+(AB154+AB155+AB156+AB157+AB158+AB159)</f>
        <v>0.42064735026855027</v>
      </c>
      <c r="AC153" s="201"/>
      <c r="AD153" s="450"/>
      <c r="AE153" s="450"/>
      <c r="AF153" s="450"/>
      <c r="AG153" s="450"/>
      <c r="AH153" s="450"/>
      <c r="AI153" s="225"/>
      <c r="AJ153" s="180"/>
    </row>
    <row r="154" spans="1:36" ht="91.2" customHeight="1" thickBot="1" x14ac:dyDescent="0.4">
      <c r="A154" s="301"/>
      <c r="B154" s="1195" t="s">
        <v>264</v>
      </c>
      <c r="C154" s="1195" t="s">
        <v>265</v>
      </c>
      <c r="D154" s="452" t="s">
        <v>12</v>
      </c>
      <c r="E154" s="352">
        <v>0.05</v>
      </c>
      <c r="F154" s="480">
        <v>1</v>
      </c>
      <c r="G154" s="481">
        <v>0</v>
      </c>
      <c r="H154" s="482">
        <v>1</v>
      </c>
      <c r="I154" s="483"/>
      <c r="J154" s="486">
        <f>+H154/F154</f>
        <v>1</v>
      </c>
      <c r="K154" s="483"/>
      <c r="L154" s="486">
        <f>+(H154/F154)*E154</f>
        <v>0.05</v>
      </c>
      <c r="M154" s="481"/>
      <c r="N154" s="542">
        <v>1</v>
      </c>
      <c r="O154" s="542">
        <v>0</v>
      </c>
      <c r="P154" s="542">
        <v>0</v>
      </c>
      <c r="Q154" s="542">
        <v>0</v>
      </c>
      <c r="R154" s="542">
        <v>0</v>
      </c>
      <c r="S154" s="482">
        <f>+N154+O154+P154+Q154+R154</f>
        <v>1</v>
      </c>
      <c r="T154" s="482">
        <f t="shared" si="118"/>
        <v>1</v>
      </c>
      <c r="U154" s="483"/>
      <c r="V154" s="520">
        <f>+S154/H154</f>
        <v>1</v>
      </c>
      <c r="W154" s="535"/>
      <c r="X154" s="520">
        <f t="shared" si="121"/>
        <v>0.05</v>
      </c>
      <c r="Y154" s="560"/>
      <c r="Z154" s="567">
        <f t="shared" si="119"/>
        <v>1</v>
      </c>
      <c r="AA154" s="560">
        <v>0</v>
      </c>
      <c r="AB154" s="561">
        <f>+Z154*E154</f>
        <v>0.05</v>
      </c>
      <c r="AC154" s="208" t="s">
        <v>1850</v>
      </c>
      <c r="AD154" s="658" t="s">
        <v>1892</v>
      </c>
      <c r="AE154" s="759" t="s">
        <v>2272</v>
      </c>
      <c r="AF154" s="759" t="s">
        <v>2294</v>
      </c>
      <c r="AG154" s="654" t="s">
        <v>1865</v>
      </c>
      <c r="AH154" s="759" t="s">
        <v>2445</v>
      </c>
      <c r="AI154" s="759" t="s">
        <v>2558</v>
      </c>
      <c r="AJ154" s="180"/>
    </row>
    <row r="155" spans="1:36" ht="84.6" customHeight="1" thickBot="1" x14ac:dyDescent="0.4">
      <c r="A155" s="301"/>
      <c r="B155" s="1195" t="s">
        <v>266</v>
      </c>
      <c r="C155" s="1195" t="s">
        <v>267</v>
      </c>
      <c r="D155" s="452" t="s">
        <v>12</v>
      </c>
      <c r="E155" s="352">
        <v>0.05</v>
      </c>
      <c r="F155" s="480">
        <v>8</v>
      </c>
      <c r="G155" s="481">
        <v>2</v>
      </c>
      <c r="H155" s="482">
        <v>2</v>
      </c>
      <c r="I155" s="483">
        <f>+G155/F155</f>
        <v>0.25</v>
      </c>
      <c r="J155" s="486">
        <f t="shared" si="109"/>
        <v>0.25</v>
      </c>
      <c r="K155" s="483">
        <f>+(G155/F155)*E155</f>
        <v>1.2500000000000001E-2</v>
      </c>
      <c r="L155" s="486">
        <f t="shared" si="111"/>
        <v>1.2500000000000001E-2</v>
      </c>
      <c r="M155" s="481">
        <v>4</v>
      </c>
      <c r="N155" s="542">
        <v>0</v>
      </c>
      <c r="O155" s="542">
        <v>2</v>
      </c>
      <c r="P155" s="542">
        <v>0</v>
      </c>
      <c r="Q155" s="542">
        <v>0</v>
      </c>
      <c r="R155" s="542"/>
      <c r="S155" s="482">
        <f t="shared" ref="S155:S159" si="124">+N155+O155+P155+Q155+R155</f>
        <v>2</v>
      </c>
      <c r="T155" s="482">
        <f t="shared" si="118"/>
        <v>6</v>
      </c>
      <c r="U155" s="483">
        <v>1</v>
      </c>
      <c r="V155" s="520">
        <f t="shared" ref="V155:V156" si="125">+S155/H155</f>
        <v>1</v>
      </c>
      <c r="W155" s="535">
        <f>+U155*E155</f>
        <v>0.05</v>
      </c>
      <c r="X155" s="520">
        <f t="shared" si="121"/>
        <v>0.05</v>
      </c>
      <c r="Y155" s="560">
        <f>+M155/F155</f>
        <v>0.5</v>
      </c>
      <c r="Z155" s="561">
        <f t="shared" si="119"/>
        <v>0.75</v>
      </c>
      <c r="AA155" s="560">
        <f>+Y155*E155</f>
        <v>2.5000000000000001E-2</v>
      </c>
      <c r="AB155" s="561">
        <f>+Z155*E155</f>
        <v>3.7500000000000006E-2</v>
      </c>
      <c r="AC155" s="208" t="s">
        <v>1850</v>
      </c>
      <c r="AD155" s="658" t="s">
        <v>1892</v>
      </c>
      <c r="AE155" s="759" t="s">
        <v>2272</v>
      </c>
      <c r="AF155" s="759" t="s">
        <v>2294</v>
      </c>
      <c r="AG155" s="759" t="s">
        <v>2411</v>
      </c>
      <c r="AH155" s="759" t="s">
        <v>2445</v>
      </c>
      <c r="AI155" s="759" t="s">
        <v>2558</v>
      </c>
      <c r="AJ155" s="180"/>
    </row>
    <row r="156" spans="1:36" ht="115.2" customHeight="1" thickBot="1" x14ac:dyDescent="0.4">
      <c r="A156" s="301"/>
      <c r="B156" s="1195" t="s">
        <v>268</v>
      </c>
      <c r="C156" s="1195" t="s">
        <v>269</v>
      </c>
      <c r="D156" s="455" t="s">
        <v>1563</v>
      </c>
      <c r="E156" s="352">
        <v>0.35</v>
      </c>
      <c r="F156" s="480">
        <v>3534</v>
      </c>
      <c r="G156" s="481">
        <v>0</v>
      </c>
      <c r="H156" s="482">
        <v>1500</v>
      </c>
      <c r="I156" s="483"/>
      <c r="J156" s="486">
        <f t="shared" si="109"/>
        <v>0.42444821731748728</v>
      </c>
      <c r="K156" s="483"/>
      <c r="L156" s="486">
        <f>+(H156/F156)*E156</f>
        <v>0.14855687606112053</v>
      </c>
      <c r="M156" s="481"/>
      <c r="N156" s="542">
        <v>0</v>
      </c>
      <c r="O156" s="542">
        <v>353</v>
      </c>
      <c r="P156" s="542">
        <v>286</v>
      </c>
      <c r="Q156" s="542">
        <v>61</v>
      </c>
      <c r="R156" s="542">
        <v>502</v>
      </c>
      <c r="S156" s="482">
        <f t="shared" si="124"/>
        <v>1202</v>
      </c>
      <c r="T156" s="482">
        <f t="shared" si="118"/>
        <v>1202</v>
      </c>
      <c r="U156" s="483"/>
      <c r="V156" s="520">
        <f t="shared" si="125"/>
        <v>0.80133333333333334</v>
      </c>
      <c r="W156" s="535"/>
      <c r="X156" s="520">
        <f t="shared" si="121"/>
        <v>0.28046666666666664</v>
      </c>
      <c r="Y156" s="560"/>
      <c r="Z156" s="561">
        <f t="shared" si="119"/>
        <v>0.34012450481041312</v>
      </c>
      <c r="AA156" s="560">
        <v>0</v>
      </c>
      <c r="AB156" s="561">
        <f>+Z156*E156</f>
        <v>0.11904357668364458</v>
      </c>
      <c r="AC156" s="208" t="s">
        <v>1850</v>
      </c>
      <c r="AD156" s="676" t="s">
        <v>1923</v>
      </c>
      <c r="AE156" s="759" t="s">
        <v>2272</v>
      </c>
      <c r="AF156" s="759" t="s">
        <v>2294</v>
      </c>
      <c r="AG156" s="759" t="s">
        <v>2411</v>
      </c>
      <c r="AH156" s="759" t="s">
        <v>2445</v>
      </c>
      <c r="AI156" s="759" t="s">
        <v>2558</v>
      </c>
      <c r="AJ156" s="180"/>
    </row>
    <row r="157" spans="1:36" ht="142.80000000000001" customHeight="1" thickBot="1" x14ac:dyDescent="0.4">
      <c r="A157" s="301"/>
      <c r="B157" s="1195" t="s">
        <v>270</v>
      </c>
      <c r="C157" s="1195" t="s">
        <v>271</v>
      </c>
      <c r="D157" s="455" t="s">
        <v>1932</v>
      </c>
      <c r="E157" s="352">
        <v>0.25</v>
      </c>
      <c r="F157" s="480">
        <v>55</v>
      </c>
      <c r="G157" s="481">
        <v>0</v>
      </c>
      <c r="H157" s="482">
        <v>15</v>
      </c>
      <c r="I157" s="483"/>
      <c r="J157" s="486">
        <f t="shared" si="109"/>
        <v>0.27272727272727271</v>
      </c>
      <c r="K157" s="483"/>
      <c r="L157" s="486">
        <f t="shared" si="111"/>
        <v>6.8181818181818177E-2</v>
      </c>
      <c r="M157" s="481"/>
      <c r="N157" s="542">
        <v>0</v>
      </c>
      <c r="O157" s="542">
        <v>0</v>
      </c>
      <c r="P157" s="542">
        <v>0</v>
      </c>
      <c r="Q157" s="542">
        <v>0</v>
      </c>
      <c r="R157" s="542">
        <v>41</v>
      </c>
      <c r="S157" s="482">
        <f t="shared" si="124"/>
        <v>41</v>
      </c>
      <c r="T157" s="482">
        <f t="shared" si="118"/>
        <v>41</v>
      </c>
      <c r="U157" s="483"/>
      <c r="V157" s="520">
        <v>1</v>
      </c>
      <c r="W157" s="535"/>
      <c r="X157" s="520">
        <f t="shared" si="121"/>
        <v>0.25</v>
      </c>
      <c r="Y157" s="560"/>
      <c r="Z157" s="561">
        <f t="shared" si="119"/>
        <v>0.74545454545454548</v>
      </c>
      <c r="AA157" s="560">
        <v>0</v>
      </c>
      <c r="AB157" s="561">
        <v>0</v>
      </c>
      <c r="AC157" s="208" t="s">
        <v>1850</v>
      </c>
      <c r="AD157" s="676" t="s">
        <v>1931</v>
      </c>
      <c r="AE157" s="759" t="s">
        <v>2272</v>
      </c>
      <c r="AF157" s="759" t="s">
        <v>2294</v>
      </c>
      <c r="AG157" s="759" t="s">
        <v>2411</v>
      </c>
      <c r="AH157" s="759" t="s">
        <v>2445</v>
      </c>
      <c r="AI157" s="759" t="s">
        <v>2558</v>
      </c>
      <c r="AJ157" s="180"/>
    </row>
    <row r="158" spans="1:36" ht="76.8" customHeight="1" thickBot="1" x14ac:dyDescent="0.4">
      <c r="A158" s="301"/>
      <c r="B158" s="459" t="s">
        <v>272</v>
      </c>
      <c r="C158" s="459" t="s">
        <v>273</v>
      </c>
      <c r="D158" s="454" t="s">
        <v>162</v>
      </c>
      <c r="E158" s="352">
        <v>0.05</v>
      </c>
      <c r="F158" s="480">
        <v>2</v>
      </c>
      <c r="G158" s="481">
        <v>2</v>
      </c>
      <c r="H158" s="482"/>
      <c r="I158" s="483">
        <f>+G158/F158</f>
        <v>1</v>
      </c>
      <c r="J158" s="486"/>
      <c r="K158" s="483">
        <f>+(G158/F158)*E158</f>
        <v>0.05</v>
      </c>
      <c r="L158" s="486"/>
      <c r="M158" s="481">
        <v>0</v>
      </c>
      <c r="N158" s="542"/>
      <c r="O158" s="542"/>
      <c r="P158" s="542"/>
      <c r="Q158" s="482"/>
      <c r="R158" s="543"/>
      <c r="S158" s="482">
        <f t="shared" si="124"/>
        <v>0</v>
      </c>
      <c r="T158" s="482">
        <f t="shared" si="118"/>
        <v>0</v>
      </c>
      <c r="U158" s="483">
        <f>+(M158/G158)</f>
        <v>0</v>
      </c>
      <c r="V158" s="520"/>
      <c r="W158" s="535">
        <f>+U158*E158</f>
        <v>0</v>
      </c>
      <c r="X158" s="520"/>
      <c r="Y158" s="560">
        <f>+M158/F158</f>
        <v>0</v>
      </c>
      <c r="Z158" s="561">
        <v>0</v>
      </c>
      <c r="AA158" s="560">
        <f>+Y158*E158</f>
        <v>0</v>
      </c>
      <c r="AB158" s="561">
        <f>+Z158*E158</f>
        <v>0</v>
      </c>
      <c r="AC158" s="673" t="s">
        <v>1863</v>
      </c>
      <c r="AD158" s="654" t="s">
        <v>1863</v>
      </c>
      <c r="AE158" s="450"/>
      <c r="AF158" s="759" t="s">
        <v>2294</v>
      </c>
      <c r="AG158" s="450"/>
      <c r="AH158" s="450"/>
      <c r="AI158" s="225"/>
      <c r="AJ158" s="180"/>
    </row>
    <row r="159" spans="1:36" ht="106.95" customHeight="1" thickBot="1" x14ac:dyDescent="0.4">
      <c r="A159" s="301"/>
      <c r="B159" s="1195" t="s">
        <v>274</v>
      </c>
      <c r="C159" s="1195" t="s">
        <v>275</v>
      </c>
      <c r="D159" s="456" t="s">
        <v>1547</v>
      </c>
      <c r="E159" s="352">
        <v>0.25</v>
      </c>
      <c r="F159" s="480">
        <v>10600</v>
      </c>
      <c r="G159" s="481">
        <v>0</v>
      </c>
      <c r="H159" s="482">
        <v>3534</v>
      </c>
      <c r="I159" s="483"/>
      <c r="J159" s="486">
        <f t="shared" si="109"/>
        <v>0.33339622641509437</v>
      </c>
      <c r="K159" s="483"/>
      <c r="L159" s="486">
        <f t="shared" si="111"/>
        <v>8.3349056603773591E-2</v>
      </c>
      <c r="M159" s="481"/>
      <c r="N159" s="542">
        <v>0</v>
      </c>
      <c r="O159" s="542">
        <v>3534</v>
      </c>
      <c r="P159" s="542">
        <v>2948</v>
      </c>
      <c r="Q159" s="482">
        <v>2596</v>
      </c>
      <c r="R159" s="543"/>
      <c r="S159" s="482">
        <f t="shared" si="124"/>
        <v>9078</v>
      </c>
      <c r="T159" s="482">
        <f t="shared" si="118"/>
        <v>9078</v>
      </c>
      <c r="U159" s="483"/>
      <c r="V159" s="520">
        <v>1</v>
      </c>
      <c r="W159" s="535"/>
      <c r="X159" s="520">
        <f t="shared" si="121"/>
        <v>0.25</v>
      </c>
      <c r="Y159" s="921"/>
      <c r="Z159" s="562">
        <f t="shared" si="119"/>
        <v>0.8564150943396226</v>
      </c>
      <c r="AA159" s="560">
        <v>0</v>
      </c>
      <c r="AB159" s="561">
        <f>+Z159*E159</f>
        <v>0.21410377358490565</v>
      </c>
      <c r="AC159" s="208" t="s">
        <v>1850</v>
      </c>
      <c r="AD159" s="654" t="s">
        <v>1954</v>
      </c>
      <c r="AE159" s="450"/>
      <c r="AF159" s="450"/>
      <c r="AG159" s="1038" t="s">
        <v>2411</v>
      </c>
      <c r="AH159" s="654" t="s">
        <v>1865</v>
      </c>
      <c r="AI159" s="759" t="s">
        <v>2558</v>
      </c>
      <c r="AJ159" s="180"/>
    </row>
    <row r="160" spans="1:36" ht="30" customHeight="1" thickBot="1" x14ac:dyDescent="0.45">
      <c r="A160" s="301"/>
      <c r="B160" s="1300" t="s">
        <v>1616</v>
      </c>
      <c r="C160" s="1299"/>
      <c r="D160" s="451"/>
      <c r="E160" s="476">
        <v>0.2</v>
      </c>
      <c r="F160" s="480"/>
      <c r="G160" s="479"/>
      <c r="H160" s="485"/>
      <c r="I160" s="478">
        <f>+AVERAGE(I161:I165)</f>
        <v>0.22400000000000003</v>
      </c>
      <c r="J160" s="478">
        <f>+AVERAGE(J161:J165)</f>
        <v>0.29239999999999999</v>
      </c>
      <c r="K160" s="478">
        <f>+K161+K162+K163+K164+K165</f>
        <v>0.14599999999999999</v>
      </c>
      <c r="L160" s="478">
        <f>+L161+L162+L163+L164+L165</f>
        <v>0.2656</v>
      </c>
      <c r="M160" s="479"/>
      <c r="N160" s="485"/>
      <c r="O160" s="485"/>
      <c r="P160" s="485"/>
      <c r="Q160" s="485"/>
      <c r="R160" s="1200"/>
      <c r="S160" s="485"/>
      <c r="T160" s="485"/>
      <c r="U160" s="544">
        <f>+AVERAGE(U161:U165)</f>
        <v>1</v>
      </c>
      <c r="V160" s="544">
        <f>+AVERAGE(V161:V165)</f>
        <v>0.96250000000000002</v>
      </c>
      <c r="W160" s="544">
        <f>+(W161+W162+W163+W164+W165)*E160</f>
        <v>0.19999999999999998</v>
      </c>
      <c r="X160" s="563">
        <f>+(X161+X162+X163+X164+X165)*E160</f>
        <v>0.18875</v>
      </c>
      <c r="Y160" s="564">
        <f>+AVERAGE(Y161:Y165)</f>
        <v>0.25159999999999999</v>
      </c>
      <c r="Z160" s="564">
        <f>+AVERAGE(Z161:Z165)</f>
        <v>0.61180000000000001</v>
      </c>
      <c r="AA160" s="499">
        <f>+(AA161+AA162+AA163+AA164+AA165)*E160</f>
        <v>3.8080000000000003E-2</v>
      </c>
      <c r="AB160" s="556">
        <f>+(AB161+AB162+AB163+AB164+AB165)</f>
        <v>0.48270000000000007</v>
      </c>
      <c r="AC160" s="201"/>
      <c r="AD160" s="450"/>
      <c r="AE160" s="450"/>
      <c r="AF160" s="450"/>
      <c r="AG160" s="450"/>
      <c r="AH160" s="450"/>
      <c r="AI160" s="225"/>
      <c r="AJ160" s="180"/>
    </row>
    <row r="161" spans="1:36" ht="92.4" customHeight="1" thickBot="1" x14ac:dyDescent="0.4">
      <c r="A161" s="301"/>
      <c r="B161" s="1195" t="s">
        <v>276</v>
      </c>
      <c r="C161" s="1195" t="s">
        <v>277</v>
      </c>
      <c r="D161" s="452" t="s">
        <v>58</v>
      </c>
      <c r="E161" s="352">
        <v>0.3</v>
      </c>
      <c r="F161" s="480">
        <v>500</v>
      </c>
      <c r="G161" s="481">
        <v>10</v>
      </c>
      <c r="H161" s="482">
        <v>96</v>
      </c>
      <c r="I161" s="483">
        <f>+G161/F161</f>
        <v>0.02</v>
      </c>
      <c r="J161" s="486">
        <f t="shared" si="109"/>
        <v>0.192</v>
      </c>
      <c r="K161" s="483">
        <f>+(G161/F161)*E161</f>
        <v>6.0000000000000001E-3</v>
      </c>
      <c r="L161" s="486">
        <f t="shared" si="111"/>
        <v>5.7599999999999998E-2</v>
      </c>
      <c r="M161" s="481">
        <v>64</v>
      </c>
      <c r="N161" s="542">
        <v>0</v>
      </c>
      <c r="O161" s="542">
        <v>32</v>
      </c>
      <c r="P161" s="542">
        <v>0</v>
      </c>
      <c r="Q161" s="542">
        <v>30</v>
      </c>
      <c r="R161" s="542">
        <v>16</v>
      </c>
      <c r="S161" s="482">
        <f>+N161+O161+P161+Q161+R161</f>
        <v>78</v>
      </c>
      <c r="T161" s="482">
        <f t="shared" si="118"/>
        <v>142</v>
      </c>
      <c r="U161" s="483">
        <v>1</v>
      </c>
      <c r="V161" s="520">
        <f t="shared" ref="V161:V170" si="126">+S161/H161</f>
        <v>0.8125</v>
      </c>
      <c r="W161" s="535">
        <f>+U161*E161</f>
        <v>0.3</v>
      </c>
      <c r="X161" s="520">
        <f t="shared" si="121"/>
        <v>0.24374999999999999</v>
      </c>
      <c r="Y161" s="1019">
        <f>+M161/F161</f>
        <v>0.128</v>
      </c>
      <c r="Z161" s="567">
        <f t="shared" si="119"/>
        <v>0.28399999999999997</v>
      </c>
      <c r="AA161" s="560">
        <f>+Y161*E161</f>
        <v>3.8399999999999997E-2</v>
      </c>
      <c r="AB161" s="561">
        <f>+Z161*E161</f>
        <v>8.5199999999999984E-2</v>
      </c>
      <c r="AC161" s="208" t="s">
        <v>1850</v>
      </c>
      <c r="AD161" s="759" t="s">
        <v>1892</v>
      </c>
      <c r="AE161" s="759" t="s">
        <v>2272</v>
      </c>
      <c r="AF161" s="759" t="s">
        <v>2294</v>
      </c>
      <c r="AG161" s="759" t="s">
        <v>2411</v>
      </c>
      <c r="AH161" s="759" t="s">
        <v>2445</v>
      </c>
      <c r="AI161" s="759" t="s">
        <v>2558</v>
      </c>
      <c r="AJ161" s="180"/>
    </row>
    <row r="162" spans="1:36" ht="139.94999999999999" customHeight="1" thickBot="1" x14ac:dyDescent="0.4">
      <c r="A162" s="301"/>
      <c r="B162" s="1195" t="s">
        <v>278</v>
      </c>
      <c r="C162" s="1195" t="s">
        <v>279</v>
      </c>
      <c r="D162" s="452" t="s">
        <v>58</v>
      </c>
      <c r="E162" s="352">
        <v>0.4</v>
      </c>
      <c r="F162" s="480">
        <v>200</v>
      </c>
      <c r="G162" s="481">
        <v>20</v>
      </c>
      <c r="H162" s="482">
        <v>54</v>
      </c>
      <c r="I162" s="483">
        <f>+G162/F162</f>
        <v>0.1</v>
      </c>
      <c r="J162" s="486">
        <f t="shared" si="109"/>
        <v>0.27</v>
      </c>
      <c r="K162" s="483">
        <f>+(G162/F162)*E162</f>
        <v>4.0000000000000008E-2</v>
      </c>
      <c r="L162" s="486">
        <f t="shared" si="111"/>
        <v>0.10800000000000001</v>
      </c>
      <c r="M162" s="481">
        <v>26</v>
      </c>
      <c r="N162" s="542">
        <v>0</v>
      </c>
      <c r="O162" s="542">
        <v>0</v>
      </c>
      <c r="P162" s="542">
        <v>0</v>
      </c>
      <c r="Q162" s="542">
        <v>0</v>
      </c>
      <c r="R162" s="542">
        <v>54</v>
      </c>
      <c r="S162" s="482">
        <f t="shared" ref="S162:S164" si="127">+N162+O162+P162+Q162+R162</f>
        <v>54</v>
      </c>
      <c r="T162" s="482">
        <f t="shared" si="118"/>
        <v>80</v>
      </c>
      <c r="U162" s="483">
        <v>1</v>
      </c>
      <c r="V162" s="520">
        <f t="shared" si="126"/>
        <v>1</v>
      </c>
      <c r="W162" s="535">
        <f>+U162*E162</f>
        <v>0.4</v>
      </c>
      <c r="X162" s="520">
        <f t="shared" si="121"/>
        <v>0.4</v>
      </c>
      <c r="Y162" s="560">
        <f>+M162/F162</f>
        <v>0.13</v>
      </c>
      <c r="Z162" s="561">
        <f t="shared" si="119"/>
        <v>0.4</v>
      </c>
      <c r="AA162" s="560">
        <f>+Y162*E162</f>
        <v>5.2000000000000005E-2</v>
      </c>
      <c r="AB162" s="561">
        <f>+Z162*E162</f>
        <v>0.16000000000000003</v>
      </c>
      <c r="AC162" s="208" t="s">
        <v>1850</v>
      </c>
      <c r="AD162" s="759" t="s">
        <v>1892</v>
      </c>
      <c r="AE162" s="759" t="s">
        <v>2272</v>
      </c>
      <c r="AF162" s="759" t="s">
        <v>2294</v>
      </c>
      <c r="AG162" s="759" t="s">
        <v>2411</v>
      </c>
      <c r="AH162" s="759" t="s">
        <v>2445</v>
      </c>
      <c r="AI162" s="759" t="s">
        <v>2558</v>
      </c>
      <c r="AJ162" s="180"/>
    </row>
    <row r="163" spans="1:36" ht="82.95" customHeight="1" thickBot="1" x14ac:dyDescent="0.4">
      <c r="A163" s="301"/>
      <c r="B163" s="1195" t="s">
        <v>280</v>
      </c>
      <c r="C163" s="1195" t="s">
        <v>281</v>
      </c>
      <c r="D163" s="452" t="s">
        <v>58</v>
      </c>
      <c r="E163" s="352">
        <v>0.1</v>
      </c>
      <c r="F163" s="480">
        <v>1</v>
      </c>
      <c r="G163" s="481">
        <v>0.5</v>
      </c>
      <c r="H163" s="482">
        <v>0.5</v>
      </c>
      <c r="I163" s="483">
        <f>+G163/F163</f>
        <v>0.5</v>
      </c>
      <c r="J163" s="486">
        <f t="shared" si="109"/>
        <v>0.5</v>
      </c>
      <c r="K163" s="483">
        <f>+(G163/F163)*E163</f>
        <v>0.05</v>
      </c>
      <c r="L163" s="486">
        <f t="shared" si="111"/>
        <v>0.05</v>
      </c>
      <c r="M163" s="481">
        <v>0.5</v>
      </c>
      <c r="N163" s="542">
        <v>0</v>
      </c>
      <c r="O163" s="542">
        <v>0</v>
      </c>
      <c r="P163" s="542">
        <v>0</v>
      </c>
      <c r="Q163" s="542">
        <v>0.5</v>
      </c>
      <c r="R163" s="542">
        <v>0</v>
      </c>
      <c r="S163" s="482">
        <f t="shared" si="127"/>
        <v>0.5</v>
      </c>
      <c r="T163" s="482">
        <f t="shared" si="118"/>
        <v>1</v>
      </c>
      <c r="U163" s="483">
        <f>+(M163/G163)</f>
        <v>1</v>
      </c>
      <c r="V163" s="520">
        <f t="shared" si="126"/>
        <v>1</v>
      </c>
      <c r="W163" s="535">
        <f>+U163*E163</f>
        <v>0.1</v>
      </c>
      <c r="X163" s="520">
        <f t="shared" si="121"/>
        <v>0.1</v>
      </c>
      <c r="Y163" s="560">
        <f>+M163/F163</f>
        <v>0.5</v>
      </c>
      <c r="Z163" s="561">
        <f t="shared" si="119"/>
        <v>1</v>
      </c>
      <c r="AA163" s="560">
        <f>+Y163*E163</f>
        <v>0.05</v>
      </c>
      <c r="AB163" s="561">
        <f>+Z163*E163</f>
        <v>0.1</v>
      </c>
      <c r="AC163" s="208" t="s">
        <v>1850</v>
      </c>
      <c r="AD163" s="759" t="s">
        <v>1892</v>
      </c>
      <c r="AE163" s="759" t="s">
        <v>2272</v>
      </c>
      <c r="AF163" s="759" t="s">
        <v>2294</v>
      </c>
      <c r="AG163" s="759" t="s">
        <v>2411</v>
      </c>
      <c r="AH163" s="759" t="s">
        <v>2446</v>
      </c>
      <c r="AI163" s="759" t="s">
        <v>2558</v>
      </c>
      <c r="AJ163" s="180"/>
    </row>
    <row r="164" spans="1:36" ht="165" customHeight="1" thickBot="1" x14ac:dyDescent="0.4">
      <c r="A164" s="301"/>
      <c r="B164" s="1195" t="s">
        <v>282</v>
      </c>
      <c r="C164" s="1195" t="s">
        <v>283</v>
      </c>
      <c r="D164" s="452" t="s">
        <v>58</v>
      </c>
      <c r="E164" s="352">
        <v>0.1</v>
      </c>
      <c r="F164" s="480">
        <v>8</v>
      </c>
      <c r="G164" s="481">
        <v>2</v>
      </c>
      <c r="H164" s="482">
        <v>2</v>
      </c>
      <c r="I164" s="483">
        <f>+G164/F164</f>
        <v>0.25</v>
      </c>
      <c r="J164" s="486">
        <f>+H164/F164</f>
        <v>0.25</v>
      </c>
      <c r="K164" s="483">
        <f>+(G164/F164)*E164</f>
        <v>2.5000000000000001E-2</v>
      </c>
      <c r="L164" s="486">
        <f t="shared" si="111"/>
        <v>2.5000000000000001E-2</v>
      </c>
      <c r="M164" s="481">
        <v>2</v>
      </c>
      <c r="N164" s="542">
        <v>0</v>
      </c>
      <c r="O164" s="542">
        <v>3</v>
      </c>
      <c r="P164" s="542">
        <v>1</v>
      </c>
      <c r="Q164" s="542">
        <v>1</v>
      </c>
      <c r="R164" s="542">
        <v>0</v>
      </c>
      <c r="S164" s="482">
        <f t="shared" si="127"/>
        <v>5</v>
      </c>
      <c r="T164" s="482">
        <f>+S164+M164</f>
        <v>7</v>
      </c>
      <c r="U164" s="483">
        <f>+(M164/G164)</f>
        <v>1</v>
      </c>
      <c r="V164" s="520">
        <v>1</v>
      </c>
      <c r="W164" s="535">
        <f>+U164*E164</f>
        <v>0.1</v>
      </c>
      <c r="X164" s="520">
        <f t="shared" si="121"/>
        <v>0.1</v>
      </c>
      <c r="Y164" s="560">
        <f>+M164/F164</f>
        <v>0.25</v>
      </c>
      <c r="Z164" s="561">
        <f t="shared" si="119"/>
        <v>0.875</v>
      </c>
      <c r="AA164" s="560">
        <f>+Y164*E164</f>
        <v>2.5000000000000001E-2</v>
      </c>
      <c r="AB164" s="561">
        <f>+Z164*E164</f>
        <v>8.7500000000000008E-2</v>
      </c>
      <c r="AC164" s="208" t="s">
        <v>1850</v>
      </c>
      <c r="AD164" s="759" t="s">
        <v>1892</v>
      </c>
      <c r="AE164" s="759" t="s">
        <v>2272</v>
      </c>
      <c r="AF164" s="759" t="s">
        <v>2294</v>
      </c>
      <c r="AG164" s="759" t="s">
        <v>2411</v>
      </c>
      <c r="AH164" s="759" t="s">
        <v>2445</v>
      </c>
      <c r="AI164" s="759" t="s">
        <v>2558</v>
      </c>
      <c r="AJ164" s="180"/>
    </row>
    <row r="165" spans="1:36" ht="180.6" customHeight="1" thickBot="1" x14ac:dyDescent="0.4">
      <c r="A165" s="301"/>
      <c r="B165" s="1195" t="s">
        <v>284</v>
      </c>
      <c r="C165" s="1195" t="s">
        <v>285</v>
      </c>
      <c r="D165" s="452" t="s">
        <v>58</v>
      </c>
      <c r="E165" s="352">
        <v>0.1</v>
      </c>
      <c r="F165" s="480">
        <v>8</v>
      </c>
      <c r="G165" s="481">
        <v>2</v>
      </c>
      <c r="H165" s="482">
        <v>2</v>
      </c>
      <c r="I165" s="483">
        <f>+G165/F165</f>
        <v>0.25</v>
      </c>
      <c r="J165" s="486">
        <f t="shared" si="109"/>
        <v>0.25</v>
      </c>
      <c r="K165" s="483">
        <f>+(G165/F165)*E165</f>
        <v>2.5000000000000001E-2</v>
      </c>
      <c r="L165" s="486">
        <f t="shared" si="111"/>
        <v>2.5000000000000001E-2</v>
      </c>
      <c r="M165" s="481">
        <v>2</v>
      </c>
      <c r="N165" s="542">
        <v>0</v>
      </c>
      <c r="O165" s="542">
        <v>1</v>
      </c>
      <c r="P165" s="542">
        <v>0</v>
      </c>
      <c r="Q165" s="542">
        <v>0</v>
      </c>
      <c r="R165" s="543">
        <v>1</v>
      </c>
      <c r="S165" s="482">
        <f>+N165+O165+P165+Q165+R165</f>
        <v>2</v>
      </c>
      <c r="T165" s="482">
        <f t="shared" si="118"/>
        <v>4</v>
      </c>
      <c r="U165" s="483">
        <f>+(M165/G165)</f>
        <v>1</v>
      </c>
      <c r="V165" s="520">
        <f t="shared" si="126"/>
        <v>1</v>
      </c>
      <c r="W165" s="535">
        <f>+U165*E165</f>
        <v>0.1</v>
      </c>
      <c r="X165" s="520">
        <f t="shared" si="121"/>
        <v>0.1</v>
      </c>
      <c r="Y165" s="560">
        <f>+M165/F165</f>
        <v>0.25</v>
      </c>
      <c r="Z165" s="561">
        <f>+T165/F165</f>
        <v>0.5</v>
      </c>
      <c r="AA165" s="560">
        <f>+Y165*E165</f>
        <v>2.5000000000000001E-2</v>
      </c>
      <c r="AB165" s="561">
        <f>+Z165*E165</f>
        <v>0.05</v>
      </c>
      <c r="AC165" s="208" t="s">
        <v>1850</v>
      </c>
      <c r="AD165" s="759" t="s">
        <v>1892</v>
      </c>
      <c r="AE165" s="759" t="s">
        <v>2272</v>
      </c>
      <c r="AF165" s="759" t="s">
        <v>2294</v>
      </c>
      <c r="AG165" s="759" t="s">
        <v>2411</v>
      </c>
      <c r="AH165" s="759" t="s">
        <v>2445</v>
      </c>
      <c r="AI165" s="759" t="s">
        <v>2558</v>
      </c>
      <c r="AJ165" s="180"/>
    </row>
    <row r="166" spans="1:36" ht="144.6" customHeight="1" thickBot="1" x14ac:dyDescent="0.45">
      <c r="A166" s="301"/>
      <c r="B166" s="1300" t="s">
        <v>1617</v>
      </c>
      <c r="C166" s="1299"/>
      <c r="D166" s="451"/>
      <c r="E166" s="476">
        <v>0.05</v>
      </c>
      <c r="F166" s="480"/>
      <c r="G166" s="479"/>
      <c r="H166" s="485"/>
      <c r="I166" s="478"/>
      <c r="J166" s="478">
        <f>+AVERAGE(J167:J170)</f>
        <v>0.625</v>
      </c>
      <c r="K166" s="478">
        <f>+K167+K168+K169+K170</f>
        <v>0</v>
      </c>
      <c r="L166" s="478">
        <f>+L167+L168+L169+L170</f>
        <v>0.625</v>
      </c>
      <c r="M166" s="479"/>
      <c r="N166" s="485"/>
      <c r="O166" s="485"/>
      <c r="P166" s="485"/>
      <c r="Q166" s="485"/>
      <c r="R166" s="1200"/>
      <c r="S166" s="485"/>
      <c r="T166" s="485"/>
      <c r="U166" s="544"/>
      <c r="V166" s="544">
        <f>+AVERAGE(V167:V170)</f>
        <v>0.81500000000000006</v>
      </c>
      <c r="W166" s="544"/>
      <c r="X166" s="544">
        <f>+(X167+X168+X169+X170)*E166</f>
        <v>4.0599999999999997E-2</v>
      </c>
      <c r="Y166" s="499"/>
      <c r="Z166" s="556">
        <f>+AVERAGE(Z167:Z170)</f>
        <v>0.44000000000000006</v>
      </c>
      <c r="AA166" s="499">
        <f>+(AA167+AA168+AA169+AA170)*E166</f>
        <v>0</v>
      </c>
      <c r="AB166" s="556">
        <f>+(AB167+AB168+AB169+AB170)</f>
        <v>0.437</v>
      </c>
      <c r="AC166" s="201"/>
      <c r="AD166" s="773" t="s">
        <v>1984</v>
      </c>
      <c r="AE166" s="773" t="s">
        <v>2274</v>
      </c>
      <c r="AF166" s="450"/>
      <c r="AG166" s="450"/>
      <c r="AH166" s="450"/>
      <c r="AI166" s="225"/>
      <c r="AJ166" s="180"/>
    </row>
    <row r="167" spans="1:36" ht="93.6" customHeight="1" thickBot="1" x14ac:dyDescent="0.4">
      <c r="A167" s="301"/>
      <c r="B167" s="1195" t="s">
        <v>286</v>
      </c>
      <c r="C167" s="1195" t="s">
        <v>287</v>
      </c>
      <c r="D167" s="452" t="s">
        <v>58</v>
      </c>
      <c r="E167" s="352">
        <v>0.3</v>
      </c>
      <c r="F167" s="480">
        <v>4</v>
      </c>
      <c r="G167" s="481">
        <v>0</v>
      </c>
      <c r="H167" s="482">
        <v>1</v>
      </c>
      <c r="I167" s="483"/>
      <c r="J167" s="486">
        <f t="shared" si="109"/>
        <v>0.25</v>
      </c>
      <c r="K167" s="483">
        <f>+(G167/F167)*E167</f>
        <v>0</v>
      </c>
      <c r="L167" s="486">
        <f t="shared" si="111"/>
        <v>7.4999999999999997E-2</v>
      </c>
      <c r="M167" s="481"/>
      <c r="N167" s="542">
        <v>0</v>
      </c>
      <c r="O167" s="542">
        <v>0</v>
      </c>
      <c r="P167" s="542">
        <v>0</v>
      </c>
      <c r="Q167" s="542">
        <v>1</v>
      </c>
      <c r="R167" s="542">
        <v>0</v>
      </c>
      <c r="S167" s="482">
        <f>+N167+O167+P167+Q167+R167</f>
        <v>1</v>
      </c>
      <c r="T167" s="482">
        <f t="shared" si="118"/>
        <v>1</v>
      </c>
      <c r="U167" s="483"/>
      <c r="V167" s="520">
        <f t="shared" si="126"/>
        <v>1</v>
      </c>
      <c r="W167" s="535"/>
      <c r="X167" s="520">
        <f t="shared" si="121"/>
        <v>0.3</v>
      </c>
      <c r="Y167" s="560"/>
      <c r="Z167" s="561">
        <f t="shared" si="119"/>
        <v>0.25</v>
      </c>
      <c r="AA167" s="503"/>
      <c r="AB167" s="504">
        <f t="shared" ref="AB167:AB169" si="128">+Z167*E167</f>
        <v>7.4999999999999997E-2</v>
      </c>
      <c r="AC167" s="208" t="s">
        <v>1850</v>
      </c>
      <c r="AD167" s="762" t="s">
        <v>1893</v>
      </c>
      <c r="AE167" s="759" t="s">
        <v>2272</v>
      </c>
      <c r="AF167" s="759" t="s">
        <v>2294</v>
      </c>
      <c r="AG167" s="759" t="s">
        <v>2411</v>
      </c>
      <c r="AH167" s="759" t="s">
        <v>2445</v>
      </c>
      <c r="AI167" s="759" t="s">
        <v>2558</v>
      </c>
      <c r="AJ167" s="180"/>
    </row>
    <row r="168" spans="1:36" ht="131.4" customHeight="1" thickBot="1" x14ac:dyDescent="0.4">
      <c r="A168" s="301"/>
      <c r="B168" s="1195" t="s">
        <v>288</v>
      </c>
      <c r="C168" s="1195" t="s">
        <v>289</v>
      </c>
      <c r="D168" s="452" t="s">
        <v>58</v>
      </c>
      <c r="E168" s="352">
        <v>0.3</v>
      </c>
      <c r="F168" s="480">
        <v>1</v>
      </c>
      <c r="G168" s="481">
        <v>0</v>
      </c>
      <c r="H168" s="482">
        <v>1</v>
      </c>
      <c r="I168" s="483"/>
      <c r="J168" s="486">
        <f t="shared" si="109"/>
        <v>1</v>
      </c>
      <c r="K168" s="483">
        <f>+(G168/F168)*E168</f>
        <v>0</v>
      </c>
      <c r="L168" s="486">
        <f t="shared" si="111"/>
        <v>0.3</v>
      </c>
      <c r="M168" s="481"/>
      <c r="N168" s="542">
        <v>0</v>
      </c>
      <c r="O168" s="542">
        <v>0.2</v>
      </c>
      <c r="P168" s="542">
        <v>0.2</v>
      </c>
      <c r="Q168" s="542">
        <v>0.2</v>
      </c>
      <c r="R168" s="542">
        <v>0</v>
      </c>
      <c r="S168" s="482">
        <f t="shared" ref="S168:S170" si="129">+N168+O168+P168+Q168+R168</f>
        <v>0.60000000000000009</v>
      </c>
      <c r="T168" s="482">
        <f>+S168+M168</f>
        <v>0.60000000000000009</v>
      </c>
      <c r="U168" s="483"/>
      <c r="V168" s="520">
        <f>+S168/H168</f>
        <v>0.60000000000000009</v>
      </c>
      <c r="W168" s="535"/>
      <c r="X168" s="520">
        <f t="shared" si="121"/>
        <v>0.18000000000000002</v>
      </c>
      <c r="Y168" s="560"/>
      <c r="Z168" s="561">
        <f t="shared" si="119"/>
        <v>0.60000000000000009</v>
      </c>
      <c r="AA168" s="503"/>
      <c r="AB168" s="504">
        <f t="shared" si="128"/>
        <v>0.18000000000000002</v>
      </c>
      <c r="AC168" s="208" t="s">
        <v>1850</v>
      </c>
      <c r="AD168" s="762" t="s">
        <v>1893</v>
      </c>
      <c r="AE168" s="759" t="s">
        <v>2272</v>
      </c>
      <c r="AF168" s="759" t="s">
        <v>2294</v>
      </c>
      <c r="AG168" s="759" t="s">
        <v>2411</v>
      </c>
      <c r="AH168" s="759" t="s">
        <v>2445</v>
      </c>
      <c r="AI168" s="759" t="s">
        <v>2558</v>
      </c>
      <c r="AJ168" s="180"/>
    </row>
    <row r="169" spans="1:36" ht="131.4" customHeight="1" thickBot="1" x14ac:dyDescent="0.4">
      <c r="A169" s="301"/>
      <c r="B169" s="1195" t="s">
        <v>290</v>
      </c>
      <c r="C169" s="1195" t="s">
        <v>291</v>
      </c>
      <c r="D169" s="452" t="s">
        <v>58</v>
      </c>
      <c r="E169" s="352">
        <v>0.2</v>
      </c>
      <c r="F169" s="480">
        <v>4</v>
      </c>
      <c r="G169" s="481">
        <v>0</v>
      </c>
      <c r="H169" s="482">
        <v>1</v>
      </c>
      <c r="I169" s="483"/>
      <c r="J169" s="486">
        <f t="shared" si="109"/>
        <v>0.25</v>
      </c>
      <c r="K169" s="483">
        <f t="shared" ref="K169:K170" si="130">+(G169/F169)*E169</f>
        <v>0</v>
      </c>
      <c r="L169" s="486">
        <f t="shared" si="111"/>
        <v>0.05</v>
      </c>
      <c r="M169" s="481"/>
      <c r="N169" s="542">
        <v>0</v>
      </c>
      <c r="O169" s="542">
        <v>1</v>
      </c>
      <c r="P169" s="542">
        <v>0</v>
      </c>
      <c r="Q169" s="542">
        <v>0</v>
      </c>
      <c r="R169" s="542">
        <v>0</v>
      </c>
      <c r="S169" s="482">
        <f t="shared" si="129"/>
        <v>1</v>
      </c>
      <c r="T169" s="482">
        <f t="shared" si="118"/>
        <v>1</v>
      </c>
      <c r="U169" s="483"/>
      <c r="V169" s="520">
        <v>1</v>
      </c>
      <c r="W169" s="535"/>
      <c r="X169" s="520">
        <f t="shared" si="121"/>
        <v>0.2</v>
      </c>
      <c r="Y169" s="560"/>
      <c r="Z169" s="561">
        <f t="shared" si="119"/>
        <v>0.25</v>
      </c>
      <c r="AA169" s="503"/>
      <c r="AB169" s="504">
        <f t="shared" si="128"/>
        <v>0.05</v>
      </c>
      <c r="AC169" s="208" t="s">
        <v>1850</v>
      </c>
      <c r="AD169" s="762" t="s">
        <v>1893</v>
      </c>
      <c r="AE169" s="759" t="s">
        <v>2272</v>
      </c>
      <c r="AF169" s="759" t="s">
        <v>2294</v>
      </c>
      <c r="AG169" s="759" t="s">
        <v>2411</v>
      </c>
      <c r="AH169" s="759" t="s">
        <v>2445</v>
      </c>
      <c r="AI169" s="759" t="s">
        <v>2558</v>
      </c>
      <c r="AJ169" s="180"/>
    </row>
    <row r="170" spans="1:36" ht="131.4" customHeight="1" thickBot="1" x14ac:dyDescent="0.4">
      <c r="A170" s="301"/>
      <c r="B170" s="1195" t="s">
        <v>292</v>
      </c>
      <c r="C170" s="1195" t="s">
        <v>293</v>
      </c>
      <c r="D170" s="452" t="s">
        <v>58</v>
      </c>
      <c r="E170" s="352">
        <v>0.2</v>
      </c>
      <c r="F170" s="480">
        <v>1</v>
      </c>
      <c r="G170" s="481">
        <v>0</v>
      </c>
      <c r="H170" s="482">
        <v>1</v>
      </c>
      <c r="I170" s="483"/>
      <c r="J170" s="486">
        <f t="shared" si="109"/>
        <v>1</v>
      </c>
      <c r="K170" s="483">
        <f t="shared" si="130"/>
        <v>0</v>
      </c>
      <c r="L170" s="486">
        <f t="shared" si="111"/>
        <v>0.2</v>
      </c>
      <c r="M170" s="481"/>
      <c r="N170" s="542">
        <v>0</v>
      </c>
      <c r="O170" s="542">
        <v>0</v>
      </c>
      <c r="P170" s="542">
        <v>0</v>
      </c>
      <c r="Q170" s="542">
        <v>0.66</v>
      </c>
      <c r="R170" s="542">
        <v>0</v>
      </c>
      <c r="S170" s="482">
        <f t="shared" si="129"/>
        <v>0.66</v>
      </c>
      <c r="T170" s="482">
        <f t="shared" si="118"/>
        <v>0.66</v>
      </c>
      <c r="U170" s="483"/>
      <c r="V170" s="520">
        <f t="shared" si="126"/>
        <v>0.66</v>
      </c>
      <c r="W170" s="535"/>
      <c r="X170" s="520">
        <f t="shared" si="121"/>
        <v>0.13200000000000001</v>
      </c>
      <c r="Y170" s="560"/>
      <c r="Z170" s="562">
        <f t="shared" si="119"/>
        <v>0.66</v>
      </c>
      <c r="AA170" s="503"/>
      <c r="AB170" s="504">
        <f>+Z170*E170</f>
        <v>0.13200000000000001</v>
      </c>
      <c r="AC170" s="208" t="s">
        <v>1850</v>
      </c>
      <c r="AD170" s="762" t="s">
        <v>1893</v>
      </c>
      <c r="AE170" s="759" t="s">
        <v>2272</v>
      </c>
      <c r="AF170" s="759" t="s">
        <v>2294</v>
      </c>
      <c r="AG170" s="759" t="s">
        <v>2411</v>
      </c>
      <c r="AH170" s="759" t="s">
        <v>2445</v>
      </c>
      <c r="AI170" s="759" t="s">
        <v>2558</v>
      </c>
      <c r="AJ170" s="180"/>
    </row>
    <row r="171" spans="1:36" ht="93.6" customHeight="1" thickBot="1" x14ac:dyDescent="0.45">
      <c r="A171" s="301"/>
      <c r="B171" s="1301" t="s">
        <v>294</v>
      </c>
      <c r="C171" s="1299"/>
      <c r="D171" s="449"/>
      <c r="E171" s="488">
        <v>0.15</v>
      </c>
      <c r="F171" s="488">
        <f>+E171*W171</f>
        <v>9.5333068181818179E-2</v>
      </c>
      <c r="G171" s="479"/>
      <c r="H171" s="488">
        <f>E171*X171</f>
        <v>8.7892056060606058E-2</v>
      </c>
      <c r="I171" s="473">
        <f>+(I172+I175+I179+I184+I186+I192+I195+I199+I203+I206+I209)/11</f>
        <v>0.15789568518161531</v>
      </c>
      <c r="J171" s="473">
        <f>+(J172+J175+J179+J184+J186+J192+J195+J199+J203+J206+J209)/10</f>
        <v>0.34922096249585222</v>
      </c>
      <c r="K171" s="474">
        <f>+(K172+K175+K179+K184+K186+K192+K195+K199+K203+K206+K209)/11</f>
        <v>0.13500023925638274</v>
      </c>
      <c r="L171" s="474">
        <f>+(L172+L175+L179+L184+L186+L192+L195+L199+L203+L206+L209)/11</f>
        <v>0.29944978534279126</v>
      </c>
      <c r="M171" s="479"/>
      <c r="N171" s="485"/>
      <c r="O171" s="485"/>
      <c r="P171" s="485"/>
      <c r="Q171" s="485"/>
      <c r="R171" s="1200"/>
      <c r="S171" s="485"/>
      <c r="T171" s="485"/>
      <c r="U171" s="473">
        <f>+(U172+U175+U179+U184+U186+U192+U195+U199+U203+U206+U209)/11</f>
        <v>0.7831160468319559</v>
      </c>
      <c r="V171" s="473">
        <f>+(V172+V175+V179+V184+V186+V192+V195+V199+V203+V206+V209)/11</f>
        <v>0.78967245971620981</v>
      </c>
      <c r="W171" s="474">
        <f>+W172+W175+W179+W184+W186+W192+W195+W199+W203+W206+W209</f>
        <v>0.63555378787878791</v>
      </c>
      <c r="X171" s="474">
        <f>+X172+X175+X179+X184+X186+X192+X195+X199+X203+X206+X209</f>
        <v>0.58594704040404044</v>
      </c>
      <c r="Y171" s="559">
        <f>+(Y172+Y175+Y179+Y184+Y186+Y192+Y195+Y199+Y203+Y206+Y209)/11</f>
        <v>0.17228948927894114</v>
      </c>
      <c r="Z171" s="570">
        <f>+(Z172+Z175+Z179+Z184+Z186+Z192+Z195+Z199+Z203+Z206+Z209)/11</f>
        <v>0.46829141731287866</v>
      </c>
      <c r="AA171" s="554">
        <f>+AA172+AA175+AA179+AA184+AA186+AA192+AA195+AA199+AA203+AA206+AA209</f>
        <v>0.14750248083618644</v>
      </c>
      <c r="AB171" s="674">
        <f>+(AB172*E172)+(AB175*E175)+(AB179*E179)+(AB184*E184)+(AB186*E186)+(AB192*E192)+(AB195*E195)+(AB199*E199)+(AB203*E203)+(AB206*E206)+(AB209*E209)</f>
        <v>0.46227019141616099</v>
      </c>
      <c r="AC171" s="193"/>
      <c r="AD171" s="718" t="s">
        <v>1967</v>
      </c>
      <c r="AE171" s="450"/>
      <c r="AF171" s="450"/>
      <c r="AG171" s="450"/>
      <c r="AH171" s="450"/>
      <c r="AI171" s="225"/>
      <c r="AJ171" s="180"/>
    </row>
    <row r="172" spans="1:36" ht="57" customHeight="1" thickBot="1" x14ac:dyDescent="0.45">
      <c r="A172" s="301"/>
      <c r="B172" s="1300" t="s">
        <v>1618</v>
      </c>
      <c r="C172" s="1299"/>
      <c r="D172" s="451"/>
      <c r="E172" s="476">
        <v>0.05</v>
      </c>
      <c r="F172" s="480"/>
      <c r="G172" s="479"/>
      <c r="H172" s="485"/>
      <c r="I172" s="478">
        <f>+AVERAGE(I173:I174)</f>
        <v>0.125</v>
      </c>
      <c r="J172" s="478">
        <f>+AVERAGE(J173:J174)</f>
        <v>0.33096590909090906</v>
      </c>
      <c r="K172" s="478">
        <f>+K173+K174</f>
        <v>8.7499999999999994E-2</v>
      </c>
      <c r="L172" s="478">
        <f>+L173+L174</f>
        <v>0.33607954545454544</v>
      </c>
      <c r="M172" s="479"/>
      <c r="N172" s="485"/>
      <c r="O172" s="485"/>
      <c r="P172" s="485"/>
      <c r="Q172" s="485"/>
      <c r="R172" s="1200"/>
      <c r="S172" s="485"/>
      <c r="T172" s="485"/>
      <c r="U172" s="544">
        <f>+AVERAGE(U173:U174)</f>
        <v>1</v>
      </c>
      <c r="V172" s="544">
        <f>+AVERAGE(V173:V174)</f>
        <v>0.78054545454545454</v>
      </c>
      <c r="W172" s="544">
        <f>+(W173+W174)*E172</f>
        <v>3.4999999999999996E-2</v>
      </c>
      <c r="X172" s="544">
        <f>+(X173+X174)*E172</f>
        <v>3.4638181818181811E-2</v>
      </c>
      <c r="Y172" s="499">
        <f>+AVERAGE(Y173:Y174)</f>
        <v>0.161</v>
      </c>
      <c r="Z172" s="564">
        <f>+AVERAGE(Z173:Z174)</f>
        <v>0.34830113636363635</v>
      </c>
      <c r="AA172" s="499">
        <f>+(AA173+AA174)*E172</f>
        <v>5.6350000000000003E-3</v>
      </c>
      <c r="AB172" s="556">
        <f>+(AB173+AB174)</f>
        <v>0.35053068181818181</v>
      </c>
      <c r="AC172" s="201"/>
      <c r="AD172" s="450"/>
      <c r="AE172" s="450"/>
      <c r="AF172" s="450"/>
      <c r="AG172" s="450"/>
      <c r="AH172" s="450"/>
      <c r="AI172" s="225"/>
      <c r="AJ172" s="180"/>
    </row>
    <row r="173" spans="1:36" ht="103.2" customHeight="1" thickBot="1" x14ac:dyDescent="0.4">
      <c r="A173" s="301"/>
      <c r="B173" s="1195" t="s">
        <v>295</v>
      </c>
      <c r="C173" s="1195" t="s">
        <v>296</v>
      </c>
      <c r="D173" s="452" t="s">
        <v>297</v>
      </c>
      <c r="E173" s="352">
        <v>0.7</v>
      </c>
      <c r="F173" s="480">
        <v>16000</v>
      </c>
      <c r="G173" s="481">
        <v>2000</v>
      </c>
      <c r="H173" s="482">
        <v>5500</v>
      </c>
      <c r="I173" s="483">
        <f>+G173/F173</f>
        <v>0.125</v>
      </c>
      <c r="J173" s="486">
        <f t="shared" ref="J173:J177" si="131">+H173/F173</f>
        <v>0.34375</v>
      </c>
      <c r="K173" s="483">
        <f>+(G173/F173)*E173</f>
        <v>8.7499999999999994E-2</v>
      </c>
      <c r="L173" s="486">
        <f t="shared" ref="L173:L193" si="132">+(H173/F173)*E173</f>
        <v>0.24062499999999998</v>
      </c>
      <c r="M173" s="481">
        <v>2576</v>
      </c>
      <c r="N173" s="542">
        <v>939</v>
      </c>
      <c r="O173" s="542">
        <v>807</v>
      </c>
      <c r="P173" s="542">
        <v>868</v>
      </c>
      <c r="Q173" s="542">
        <v>200</v>
      </c>
      <c r="R173" s="543">
        <v>272</v>
      </c>
      <c r="S173" s="482">
        <f>+N173+O173+P173+Q173+R173</f>
        <v>3086</v>
      </c>
      <c r="T173" s="482">
        <f t="shared" ref="T173:T211" si="133">+S173+M173</f>
        <v>5662</v>
      </c>
      <c r="U173" s="535">
        <v>1</v>
      </c>
      <c r="V173" s="520">
        <f t="shared" ref="V173:V211" si="134">+S173/H173</f>
        <v>0.56109090909090908</v>
      </c>
      <c r="W173" s="535">
        <f>+U173*E173</f>
        <v>0.7</v>
      </c>
      <c r="X173" s="520">
        <f t="shared" ref="X173" si="135">+V173*E173</f>
        <v>0.39276363636363631</v>
      </c>
      <c r="Y173" s="560">
        <f>+M173/F173</f>
        <v>0.161</v>
      </c>
      <c r="Z173" s="567">
        <f t="shared" ref="Z173:Z211" si="136">+T173/F173</f>
        <v>0.353875</v>
      </c>
      <c r="AA173" s="560">
        <f>+Y173*E173</f>
        <v>0.11269999999999999</v>
      </c>
      <c r="AB173" s="561">
        <f>+Z173*E173</f>
        <v>0.24771249999999997</v>
      </c>
      <c r="AC173" s="208" t="s">
        <v>1850</v>
      </c>
      <c r="AD173" s="717" t="s">
        <v>1893</v>
      </c>
      <c r="AE173" s="717" t="s">
        <v>2272</v>
      </c>
      <c r="AF173" s="717" t="s">
        <v>2294</v>
      </c>
      <c r="AG173" s="759" t="s">
        <v>2411</v>
      </c>
      <c r="AH173" s="759" t="s">
        <v>2445</v>
      </c>
      <c r="AI173" s="759" t="s">
        <v>2558</v>
      </c>
      <c r="AJ173" s="180"/>
    </row>
    <row r="174" spans="1:36" ht="97.2" customHeight="1" thickBot="1" x14ac:dyDescent="0.4">
      <c r="A174" s="301"/>
      <c r="B174" s="1195" t="s">
        <v>298</v>
      </c>
      <c r="C174" s="1195" t="s">
        <v>299</v>
      </c>
      <c r="D174" s="452" t="s">
        <v>297</v>
      </c>
      <c r="E174" s="352">
        <v>0.3</v>
      </c>
      <c r="F174" s="480">
        <v>2200</v>
      </c>
      <c r="G174" s="481">
        <v>0</v>
      </c>
      <c r="H174" s="482">
        <v>700</v>
      </c>
      <c r="I174" s="483"/>
      <c r="J174" s="486">
        <f t="shared" si="131"/>
        <v>0.31818181818181818</v>
      </c>
      <c r="K174" s="483"/>
      <c r="L174" s="486">
        <f t="shared" si="132"/>
        <v>9.5454545454545445E-2</v>
      </c>
      <c r="M174" s="481"/>
      <c r="N174" s="542">
        <v>9</v>
      </c>
      <c r="O174" s="542">
        <v>221</v>
      </c>
      <c r="P174" s="542">
        <v>330</v>
      </c>
      <c r="Q174" s="542">
        <v>45</v>
      </c>
      <c r="R174" s="543">
        <v>149</v>
      </c>
      <c r="S174" s="482">
        <f>+N174+O174+P174+Q174+R174</f>
        <v>754</v>
      </c>
      <c r="T174" s="482">
        <f t="shared" si="133"/>
        <v>754</v>
      </c>
      <c r="U174" s="535"/>
      <c r="V174" s="520">
        <v>1</v>
      </c>
      <c r="W174" s="535"/>
      <c r="X174" s="520">
        <f>+V174*E174</f>
        <v>0.3</v>
      </c>
      <c r="Y174" s="560"/>
      <c r="Z174" s="1130">
        <f t="shared" si="136"/>
        <v>0.34272727272727271</v>
      </c>
      <c r="AA174" s="560"/>
      <c r="AB174" s="561">
        <f>+Z174*E174</f>
        <v>0.10281818181818181</v>
      </c>
      <c r="AC174" s="208" t="s">
        <v>1850</v>
      </c>
      <c r="AD174" s="718" t="s">
        <v>1937</v>
      </c>
      <c r="AE174" s="717" t="s">
        <v>2272</v>
      </c>
      <c r="AF174" s="717" t="s">
        <v>2294</v>
      </c>
      <c r="AG174" s="759" t="s">
        <v>2411</v>
      </c>
      <c r="AH174" s="759" t="s">
        <v>2445</v>
      </c>
      <c r="AI174" s="759" t="s">
        <v>2558</v>
      </c>
      <c r="AJ174" s="180"/>
    </row>
    <row r="175" spans="1:36" ht="87" customHeight="1" thickBot="1" x14ac:dyDescent="0.45">
      <c r="A175" s="301"/>
      <c r="B175" s="1300" t="s">
        <v>1619</v>
      </c>
      <c r="C175" s="1299"/>
      <c r="D175" s="451"/>
      <c r="E175" s="476">
        <v>0.1</v>
      </c>
      <c r="F175" s="480"/>
      <c r="G175" s="481"/>
      <c r="H175" s="491"/>
      <c r="I175" s="478">
        <f>+AVERAGE(I176:I178)</f>
        <v>0.30833333333333335</v>
      </c>
      <c r="J175" s="478">
        <f>+AVERAGE(J176:J178)</f>
        <v>0.48893333333333339</v>
      </c>
      <c r="K175" s="478">
        <f>+K176+K177+K178</f>
        <v>0.20500000000000002</v>
      </c>
      <c r="L175" s="478">
        <f>+L176+L177+L178</f>
        <v>0.46671999999999997</v>
      </c>
      <c r="M175" s="479"/>
      <c r="N175" s="485"/>
      <c r="O175" s="485"/>
      <c r="P175" s="485"/>
      <c r="Q175" s="485"/>
      <c r="R175" s="1200"/>
      <c r="S175" s="485"/>
      <c r="T175" s="485"/>
      <c r="U175" s="544">
        <f>+AVERAGE(U176:U178)</f>
        <v>1</v>
      </c>
      <c r="V175" s="544">
        <f>+AVERAGE(V176:V178)</f>
        <v>1</v>
      </c>
      <c r="W175" s="544">
        <f>+(W176+W177+W178)*E175</f>
        <v>6.9999999999999993E-2</v>
      </c>
      <c r="X175" s="544">
        <f>+(X176+X177+X178)*E175</f>
        <v>0.1</v>
      </c>
      <c r="Y175" s="499">
        <f>+AVERAGE(Y176:Y178)</f>
        <v>0.383075</v>
      </c>
      <c r="Z175" s="564">
        <f>+AVERAGE(Z176:Z178)</f>
        <v>0.76648888888888889</v>
      </c>
      <c r="AA175" s="499">
        <f>+(AA176+AA177+AA178)*E175</f>
        <v>2.6718500000000003E-2</v>
      </c>
      <c r="AB175" s="556">
        <f>+(AB176+AB177+AB178)</f>
        <v>0.75401999999999991</v>
      </c>
      <c r="AC175" s="201"/>
      <c r="AD175" s="450"/>
      <c r="AE175" s="450"/>
      <c r="AF175" s="450"/>
      <c r="AG175" s="450"/>
      <c r="AH175" s="450"/>
      <c r="AI175" s="225"/>
      <c r="AJ175" s="180"/>
    </row>
    <row r="176" spans="1:36" ht="135" customHeight="1" thickBot="1" x14ac:dyDescent="0.4">
      <c r="A176" s="301"/>
      <c r="B176" s="1195" t="s">
        <v>300</v>
      </c>
      <c r="C176" s="1195" t="s">
        <v>301</v>
      </c>
      <c r="D176" s="452" t="s">
        <v>297</v>
      </c>
      <c r="E176" s="352">
        <v>0.4</v>
      </c>
      <c r="F176" s="480">
        <v>5000</v>
      </c>
      <c r="G176" s="492">
        <v>1000</v>
      </c>
      <c r="H176" s="547">
        <v>1334</v>
      </c>
      <c r="I176" s="483">
        <f>+G176/F176</f>
        <v>0.2</v>
      </c>
      <c r="J176" s="486">
        <f>+H176/F176</f>
        <v>0.26679999999999998</v>
      </c>
      <c r="K176" s="483">
        <f>+(G176/F176)*E176</f>
        <v>8.0000000000000016E-2</v>
      </c>
      <c r="L176" s="486">
        <f t="shared" si="132"/>
        <v>0.10672</v>
      </c>
      <c r="M176" s="481">
        <v>1867</v>
      </c>
      <c r="N176" s="542">
        <v>618</v>
      </c>
      <c r="O176" s="542">
        <v>356</v>
      </c>
      <c r="P176" s="542">
        <v>49</v>
      </c>
      <c r="Q176" s="542">
        <v>319</v>
      </c>
      <c r="R176" s="542">
        <v>0</v>
      </c>
      <c r="S176" s="482">
        <f>+N176+O176+P176+Q176+R176</f>
        <v>1342</v>
      </c>
      <c r="T176" s="482">
        <f t="shared" si="133"/>
        <v>3209</v>
      </c>
      <c r="U176" s="535">
        <v>1</v>
      </c>
      <c r="V176" s="520">
        <v>1</v>
      </c>
      <c r="W176" s="535">
        <f>+U176*E176</f>
        <v>0.4</v>
      </c>
      <c r="X176" s="520">
        <f t="shared" ref="X176:X208" si="137">+V176*E176</f>
        <v>0.4</v>
      </c>
      <c r="Y176" s="560">
        <f>+M176/F176</f>
        <v>0.37340000000000001</v>
      </c>
      <c r="Z176" s="567">
        <f t="shared" si="136"/>
        <v>0.64180000000000004</v>
      </c>
      <c r="AA176" s="560">
        <f>+Y176*E176</f>
        <v>0.14936000000000002</v>
      </c>
      <c r="AB176" s="561">
        <f>+Z176*E176</f>
        <v>0.25672</v>
      </c>
      <c r="AC176" s="208" t="s">
        <v>1850</v>
      </c>
      <c r="AD176" s="717" t="s">
        <v>1893</v>
      </c>
      <c r="AE176" s="717" t="s">
        <v>2272</v>
      </c>
      <c r="AF176" s="717" t="s">
        <v>2294</v>
      </c>
      <c r="AG176" s="759" t="s">
        <v>2411</v>
      </c>
      <c r="AH176" s="676" t="s">
        <v>2474</v>
      </c>
      <c r="AI176" s="759" t="s">
        <v>2558</v>
      </c>
      <c r="AJ176" s="180"/>
    </row>
    <row r="177" spans="1:36" ht="135" customHeight="1" thickBot="1" x14ac:dyDescent="0.4">
      <c r="A177" s="301"/>
      <c r="B177" s="1195" t="s">
        <v>302</v>
      </c>
      <c r="C177" s="1195" t="s">
        <v>303</v>
      </c>
      <c r="D177" s="452" t="s">
        <v>297</v>
      </c>
      <c r="E177" s="352">
        <v>0.3</v>
      </c>
      <c r="F177" s="480">
        <v>12000</v>
      </c>
      <c r="G177" s="492">
        <v>5000</v>
      </c>
      <c r="H177" s="547">
        <v>2400</v>
      </c>
      <c r="I177" s="483">
        <f>+G177/F177</f>
        <v>0.41666666666666669</v>
      </c>
      <c r="J177" s="486">
        <f t="shared" si="131"/>
        <v>0.2</v>
      </c>
      <c r="K177" s="483">
        <f>+(G177/F177)*E177</f>
        <v>0.125</v>
      </c>
      <c r="L177" s="486">
        <f t="shared" si="132"/>
        <v>0.06</v>
      </c>
      <c r="M177" s="481">
        <v>4713</v>
      </c>
      <c r="N177" s="542">
        <v>626</v>
      </c>
      <c r="O177" s="542">
        <v>1377</v>
      </c>
      <c r="P177" s="542">
        <v>732</v>
      </c>
      <c r="Q177" s="542">
        <v>0</v>
      </c>
      <c r="R177" s="542">
        <v>444</v>
      </c>
      <c r="S177" s="482">
        <f t="shared" ref="S177:S178" si="138">+N177+O177+P177+Q177+R177</f>
        <v>3179</v>
      </c>
      <c r="T177" s="482">
        <f t="shared" si="133"/>
        <v>7892</v>
      </c>
      <c r="U177" s="535">
        <v>1</v>
      </c>
      <c r="V177" s="520">
        <v>1</v>
      </c>
      <c r="W177" s="535">
        <f>+U177*E177</f>
        <v>0.3</v>
      </c>
      <c r="X177" s="520">
        <f t="shared" si="137"/>
        <v>0.3</v>
      </c>
      <c r="Y177" s="560">
        <f>+M177/F177</f>
        <v>0.39274999999999999</v>
      </c>
      <c r="Z177" s="561">
        <f t="shared" si="136"/>
        <v>0.65766666666666662</v>
      </c>
      <c r="AA177" s="560">
        <f>+Y177*E177</f>
        <v>0.11782499999999999</v>
      </c>
      <c r="AB177" s="561">
        <f>+Z177*E177</f>
        <v>0.19729999999999998</v>
      </c>
      <c r="AC177" s="208" t="s">
        <v>1850</v>
      </c>
      <c r="AD177" s="717" t="s">
        <v>1893</v>
      </c>
      <c r="AE177" s="717" t="s">
        <v>2272</v>
      </c>
      <c r="AF177" s="717" t="s">
        <v>2294</v>
      </c>
      <c r="AG177" s="759" t="s">
        <v>2411</v>
      </c>
      <c r="AH177" s="759" t="s">
        <v>2445</v>
      </c>
      <c r="AI177" s="759" t="s">
        <v>2558</v>
      </c>
      <c r="AJ177" s="180"/>
    </row>
    <row r="178" spans="1:36" ht="135" customHeight="1" thickBot="1" x14ac:dyDescent="0.4">
      <c r="A178" s="301"/>
      <c r="B178" s="1195" t="s">
        <v>304</v>
      </c>
      <c r="C178" s="1195" t="s">
        <v>305</v>
      </c>
      <c r="D178" s="452" t="s">
        <v>297</v>
      </c>
      <c r="E178" s="352">
        <v>0.3</v>
      </c>
      <c r="F178" s="480">
        <v>1</v>
      </c>
      <c r="G178" s="492">
        <v>0</v>
      </c>
      <c r="H178" s="970">
        <v>1</v>
      </c>
      <c r="I178" s="483"/>
      <c r="J178" s="486">
        <f>+H178/F178</f>
        <v>1</v>
      </c>
      <c r="K178" s="483"/>
      <c r="L178" s="486">
        <f t="shared" si="132"/>
        <v>0.3</v>
      </c>
      <c r="M178" s="481"/>
      <c r="N178" s="542">
        <v>0</v>
      </c>
      <c r="O178" s="542">
        <v>1</v>
      </c>
      <c r="P178" s="542">
        <v>0</v>
      </c>
      <c r="Q178" s="542">
        <v>0</v>
      </c>
      <c r="R178" s="542">
        <v>0</v>
      </c>
      <c r="S178" s="482">
        <f t="shared" si="138"/>
        <v>1</v>
      </c>
      <c r="T178" s="482">
        <f t="shared" si="133"/>
        <v>1</v>
      </c>
      <c r="U178" s="535"/>
      <c r="V178" s="520">
        <f t="shared" si="134"/>
        <v>1</v>
      </c>
      <c r="W178" s="535"/>
      <c r="X178" s="520">
        <f t="shared" si="137"/>
        <v>0.3</v>
      </c>
      <c r="Y178" s="560"/>
      <c r="Z178" s="561">
        <f t="shared" si="136"/>
        <v>1</v>
      </c>
      <c r="AA178" s="560"/>
      <c r="AB178" s="561">
        <f>+Z178*E178</f>
        <v>0.3</v>
      </c>
      <c r="AC178" s="208" t="s">
        <v>1850</v>
      </c>
      <c r="AD178" s="718" t="s">
        <v>1937</v>
      </c>
      <c r="AE178" s="717" t="s">
        <v>2272</v>
      </c>
      <c r="AF178" s="717" t="s">
        <v>2294</v>
      </c>
      <c r="AG178" s="759" t="s">
        <v>2411</v>
      </c>
      <c r="AH178" s="759" t="s">
        <v>2445</v>
      </c>
      <c r="AI178" s="759" t="s">
        <v>2558</v>
      </c>
      <c r="AJ178" s="180"/>
    </row>
    <row r="179" spans="1:36" ht="135" customHeight="1" thickBot="1" x14ac:dyDescent="0.45">
      <c r="A179" s="301"/>
      <c r="B179" s="1300" t="s">
        <v>1620</v>
      </c>
      <c r="C179" s="1299"/>
      <c r="D179" s="451"/>
      <c r="E179" s="476">
        <v>0.1</v>
      </c>
      <c r="F179" s="480"/>
      <c r="G179" s="481"/>
      <c r="H179" s="525"/>
      <c r="I179" s="478">
        <f>+AVERAGE(I180:I183)</f>
        <v>0.1752103260310604</v>
      </c>
      <c r="J179" s="478">
        <f>+AVERAGE(J180:J183)</f>
        <v>0.31178031471767975</v>
      </c>
      <c r="K179" s="478">
        <f>+K180+K181+K182+K183</f>
        <v>0.17445397511056257</v>
      </c>
      <c r="L179" s="478">
        <f>+L180+L181+L182+L183</f>
        <v>0.31513853748842946</v>
      </c>
      <c r="M179" s="481"/>
      <c r="N179" s="482"/>
      <c r="O179" s="482"/>
      <c r="P179" s="482"/>
      <c r="Q179" s="482"/>
      <c r="R179" s="543"/>
      <c r="S179" s="482"/>
      <c r="T179" s="482"/>
      <c r="U179" s="544">
        <f>+AVERAGE(U180:U183)</f>
        <v>0.62594318181818176</v>
      </c>
      <c r="V179" s="544">
        <f>+AVERAGE(V180:V183)</f>
        <v>0.94106875000000001</v>
      </c>
      <c r="W179" s="544">
        <f>+(W180+W181+W182+W183)*E179</f>
        <v>6.9720454545454544E-2</v>
      </c>
      <c r="X179" s="544">
        <f>+(X180+X181+X182+X183)*F179</f>
        <v>0</v>
      </c>
      <c r="Y179" s="499">
        <f>+AVERAGE(Y180:Y183)</f>
        <v>0.1083654494497583</v>
      </c>
      <c r="Z179" s="564">
        <f>+AVERAGE(Z180:Z183)</f>
        <v>0.41810057338270079</v>
      </c>
      <c r="AA179" s="499">
        <f>+(AA180+AA181+AA182+AA183)*E179</f>
        <v>1.2047093098837808E-2</v>
      </c>
      <c r="AB179" s="556">
        <f>+(AB180+AB181+AB182+AB183)</f>
        <v>0.4377733158490178</v>
      </c>
      <c r="AC179" s="201"/>
      <c r="AD179" s="450"/>
      <c r="AE179" s="450"/>
      <c r="AF179" s="450"/>
      <c r="AG179" s="450"/>
      <c r="AH179" s="450"/>
      <c r="AI179" s="225"/>
      <c r="AJ179" s="180"/>
    </row>
    <row r="180" spans="1:36" ht="135" customHeight="1" thickBot="1" x14ac:dyDescent="0.4">
      <c r="A180" s="301"/>
      <c r="B180" s="1195" t="s">
        <v>306</v>
      </c>
      <c r="C180" s="1195" t="s">
        <v>307</v>
      </c>
      <c r="D180" s="452" t="s">
        <v>297</v>
      </c>
      <c r="E180" s="352">
        <v>0.2</v>
      </c>
      <c r="F180" s="480">
        <v>5556</v>
      </c>
      <c r="G180" s="481">
        <v>1100</v>
      </c>
      <c r="H180" s="482">
        <v>1500</v>
      </c>
      <c r="I180" s="483">
        <f>+G180/F180</f>
        <v>0.19798416126709864</v>
      </c>
      <c r="J180" s="486">
        <f t="shared" ref="J180:J193" si="139">+H180/F180</f>
        <v>0.26997840172786175</v>
      </c>
      <c r="K180" s="483">
        <f>+(G180/F180)*E180</f>
        <v>3.9596832253419728E-2</v>
      </c>
      <c r="L180" s="486">
        <f t="shared" si="132"/>
        <v>5.3995680345572353E-2</v>
      </c>
      <c r="M180" s="481">
        <v>272</v>
      </c>
      <c r="N180" s="542">
        <v>402</v>
      </c>
      <c r="O180" s="542">
        <v>91</v>
      </c>
      <c r="P180" s="542">
        <v>0</v>
      </c>
      <c r="Q180" s="542">
        <v>81</v>
      </c>
      <c r="R180" s="542">
        <v>979</v>
      </c>
      <c r="S180" s="482">
        <f>+N180+O180+P180+Q180+R180</f>
        <v>1553</v>
      </c>
      <c r="T180" s="482">
        <f>+S180+M180</f>
        <v>1825</v>
      </c>
      <c r="U180" s="535">
        <f>+(M180/G180)</f>
        <v>0.24727272727272728</v>
      </c>
      <c r="V180" s="520">
        <v>1</v>
      </c>
      <c r="W180" s="535">
        <f>+U180*E180</f>
        <v>4.9454545454545459E-2</v>
      </c>
      <c r="X180" s="520">
        <f t="shared" si="137"/>
        <v>0.2</v>
      </c>
      <c r="Y180" s="560">
        <f>+M180/F180</f>
        <v>4.8956083513318933E-2</v>
      </c>
      <c r="Z180" s="567">
        <f t="shared" si="136"/>
        <v>0.3284737221022318</v>
      </c>
      <c r="AA180" s="560">
        <f>+Y180*E180</f>
        <v>9.7912167026637867E-3</v>
      </c>
      <c r="AB180" s="561">
        <f>+Z180*E180</f>
        <v>6.5694744420446358E-2</v>
      </c>
      <c r="AC180" s="208" t="s">
        <v>1850</v>
      </c>
      <c r="AD180" s="717" t="s">
        <v>1893</v>
      </c>
      <c r="AE180" s="717" t="s">
        <v>2272</v>
      </c>
      <c r="AF180" s="717" t="s">
        <v>2294</v>
      </c>
      <c r="AG180" s="759" t="s">
        <v>2411</v>
      </c>
      <c r="AH180" s="676" t="s">
        <v>2474</v>
      </c>
      <c r="AI180" s="759" t="s">
        <v>2558</v>
      </c>
      <c r="AJ180" s="180"/>
    </row>
    <row r="181" spans="1:36" ht="135" customHeight="1" thickBot="1" x14ac:dyDescent="0.4">
      <c r="A181" s="301"/>
      <c r="B181" s="1195" t="s">
        <v>308</v>
      </c>
      <c r="C181" s="1195" t="s">
        <v>309</v>
      </c>
      <c r="D181" s="452" t="s">
        <v>297</v>
      </c>
      <c r="E181" s="352">
        <v>0.3</v>
      </c>
      <c r="F181" s="480">
        <v>14000</v>
      </c>
      <c r="G181" s="481">
        <v>2000</v>
      </c>
      <c r="H181" s="482">
        <v>5000</v>
      </c>
      <c r="I181" s="483">
        <f>+G181/F181</f>
        <v>0.14285714285714285</v>
      </c>
      <c r="J181" s="486">
        <f t="shared" si="139"/>
        <v>0.35714285714285715</v>
      </c>
      <c r="K181" s="483">
        <f>+(G181/F181)*E181</f>
        <v>4.2857142857142851E-2</v>
      </c>
      <c r="L181" s="486">
        <f t="shared" si="132"/>
        <v>0.10714285714285714</v>
      </c>
      <c r="M181" s="481">
        <v>1929</v>
      </c>
      <c r="N181" s="542">
        <v>145</v>
      </c>
      <c r="O181" s="542">
        <v>1059</v>
      </c>
      <c r="P181" s="542">
        <v>1665</v>
      </c>
      <c r="Q181" s="542">
        <v>1763</v>
      </c>
      <c r="R181" s="542">
        <v>60</v>
      </c>
      <c r="S181" s="482">
        <f t="shared" ref="S181:S183" si="140">+N181+O181+P181+Q181+R181</f>
        <v>4692</v>
      </c>
      <c r="T181" s="482">
        <f t="shared" si="133"/>
        <v>6621</v>
      </c>
      <c r="U181" s="535">
        <f>+(M181/G181)</f>
        <v>0.96450000000000002</v>
      </c>
      <c r="V181" s="520">
        <f t="shared" si="134"/>
        <v>0.93840000000000001</v>
      </c>
      <c r="W181" s="535">
        <f>+U181*E181</f>
        <v>0.28935</v>
      </c>
      <c r="X181" s="520">
        <f t="shared" si="137"/>
        <v>0.28151999999999999</v>
      </c>
      <c r="Y181" s="560">
        <f>+M181/F181</f>
        <v>0.13778571428571429</v>
      </c>
      <c r="Z181" s="561">
        <f t="shared" si="136"/>
        <v>0.47292857142857142</v>
      </c>
      <c r="AA181" s="560">
        <f>+Y181*E181</f>
        <v>4.1335714285714288E-2</v>
      </c>
      <c r="AB181" s="561">
        <f>+Z181*E181</f>
        <v>0.14187857142857141</v>
      </c>
      <c r="AC181" s="208" t="s">
        <v>1850</v>
      </c>
      <c r="AD181" s="717" t="s">
        <v>1893</v>
      </c>
      <c r="AE181" s="717" t="s">
        <v>2272</v>
      </c>
      <c r="AF181" s="717" t="s">
        <v>2294</v>
      </c>
      <c r="AG181" s="759" t="s">
        <v>2411</v>
      </c>
      <c r="AH181" s="676" t="s">
        <v>2474</v>
      </c>
      <c r="AI181" s="759" t="s">
        <v>2558</v>
      </c>
      <c r="AJ181" s="180"/>
    </row>
    <row r="182" spans="1:36" ht="135" customHeight="1" thickBot="1" x14ac:dyDescent="0.4">
      <c r="A182" s="301"/>
      <c r="B182" s="1195" t="s">
        <v>310</v>
      </c>
      <c r="C182" s="1195" t="s">
        <v>311</v>
      </c>
      <c r="D182" s="452" t="s">
        <v>297</v>
      </c>
      <c r="E182" s="352">
        <v>0.2</v>
      </c>
      <c r="F182" s="480">
        <v>25000</v>
      </c>
      <c r="G182" s="481">
        <v>4000</v>
      </c>
      <c r="H182" s="482">
        <v>8000</v>
      </c>
      <c r="I182" s="483">
        <f>+G182/F182</f>
        <v>0.16</v>
      </c>
      <c r="J182" s="486">
        <f t="shared" si="139"/>
        <v>0.32</v>
      </c>
      <c r="K182" s="483">
        <f>+(G182/F182)*E182</f>
        <v>3.2000000000000001E-2</v>
      </c>
      <c r="L182" s="486">
        <f t="shared" si="132"/>
        <v>6.4000000000000001E-2</v>
      </c>
      <c r="M182" s="481">
        <v>1168</v>
      </c>
      <c r="N182" s="542">
        <v>401</v>
      </c>
      <c r="O182" s="542">
        <v>875</v>
      </c>
      <c r="P182" s="542">
        <v>2166</v>
      </c>
      <c r="Q182" s="542">
        <v>1141</v>
      </c>
      <c r="R182" s="542">
        <v>2024</v>
      </c>
      <c r="S182" s="482">
        <f t="shared" si="140"/>
        <v>6607</v>
      </c>
      <c r="T182" s="482">
        <f t="shared" si="133"/>
        <v>7775</v>
      </c>
      <c r="U182" s="535">
        <f>+(M182/G182)</f>
        <v>0.29199999999999998</v>
      </c>
      <c r="V182" s="520">
        <f t="shared" si="134"/>
        <v>0.82587500000000003</v>
      </c>
      <c r="W182" s="535">
        <f>+U182*E182</f>
        <v>5.8400000000000001E-2</v>
      </c>
      <c r="X182" s="520">
        <f t="shared" si="137"/>
        <v>0.16517500000000002</v>
      </c>
      <c r="Y182" s="560">
        <f>+M182/F182</f>
        <v>4.6719999999999998E-2</v>
      </c>
      <c r="Z182" s="561">
        <f t="shared" si="136"/>
        <v>0.311</v>
      </c>
      <c r="AA182" s="560">
        <f>+Y182*E182</f>
        <v>9.3439999999999999E-3</v>
      </c>
      <c r="AB182" s="561">
        <f>+Z182*E182</f>
        <v>6.2200000000000005E-2</v>
      </c>
      <c r="AC182" s="208" t="s">
        <v>1850</v>
      </c>
      <c r="AD182" s="717" t="s">
        <v>1893</v>
      </c>
      <c r="AE182" s="717" t="s">
        <v>2272</v>
      </c>
      <c r="AF182" s="717" t="s">
        <v>2294</v>
      </c>
      <c r="AG182" s="759" t="s">
        <v>2411</v>
      </c>
      <c r="AH182" s="676" t="s">
        <v>2474</v>
      </c>
      <c r="AI182" s="759" t="s">
        <v>2558</v>
      </c>
      <c r="AJ182" s="180"/>
    </row>
    <row r="183" spans="1:36" ht="135" customHeight="1" thickBot="1" x14ac:dyDescent="0.4">
      <c r="A183" s="301"/>
      <c r="B183" s="1195" t="s">
        <v>312</v>
      </c>
      <c r="C183" s="1195" t="s">
        <v>313</v>
      </c>
      <c r="D183" s="452" t="s">
        <v>297</v>
      </c>
      <c r="E183" s="352">
        <v>0.3</v>
      </c>
      <c r="F183" s="480">
        <v>50</v>
      </c>
      <c r="G183" s="481">
        <v>10</v>
      </c>
      <c r="H183" s="482">
        <v>15</v>
      </c>
      <c r="I183" s="483">
        <f>+G183/F183</f>
        <v>0.2</v>
      </c>
      <c r="J183" s="486">
        <f t="shared" si="139"/>
        <v>0.3</v>
      </c>
      <c r="K183" s="483">
        <f>+(G183/F183)*E183</f>
        <v>0.06</v>
      </c>
      <c r="L183" s="486">
        <f t="shared" si="132"/>
        <v>0.09</v>
      </c>
      <c r="M183" s="481">
        <v>10</v>
      </c>
      <c r="N183" s="542">
        <v>0</v>
      </c>
      <c r="O183" s="542">
        <v>8</v>
      </c>
      <c r="P183" s="542">
        <v>10</v>
      </c>
      <c r="Q183" s="542">
        <v>0</v>
      </c>
      <c r="R183" s="542">
        <v>0</v>
      </c>
      <c r="S183" s="482">
        <f t="shared" si="140"/>
        <v>18</v>
      </c>
      <c r="T183" s="482">
        <f t="shared" si="133"/>
        <v>28</v>
      </c>
      <c r="U183" s="535">
        <f>+(M183/G183)</f>
        <v>1</v>
      </c>
      <c r="V183" s="520">
        <v>1</v>
      </c>
      <c r="W183" s="535">
        <f>+U183*E183</f>
        <v>0.3</v>
      </c>
      <c r="X183" s="520">
        <f t="shared" si="137"/>
        <v>0.3</v>
      </c>
      <c r="Y183" s="560">
        <f>+M183/F183</f>
        <v>0.2</v>
      </c>
      <c r="Z183" s="562">
        <f t="shared" si="136"/>
        <v>0.56000000000000005</v>
      </c>
      <c r="AA183" s="560">
        <f>+Y183*E183</f>
        <v>0.06</v>
      </c>
      <c r="AB183" s="561">
        <f>+Z183*E183</f>
        <v>0.16800000000000001</v>
      </c>
      <c r="AC183" s="208" t="s">
        <v>1850</v>
      </c>
      <c r="AD183" s="717" t="s">
        <v>1893</v>
      </c>
      <c r="AE183" s="717" t="s">
        <v>2272</v>
      </c>
      <c r="AF183" s="717" t="s">
        <v>2294</v>
      </c>
      <c r="AG183" s="759" t="s">
        <v>2411</v>
      </c>
      <c r="AH183" s="676" t="s">
        <v>2474</v>
      </c>
      <c r="AI183" s="759" t="s">
        <v>2558</v>
      </c>
      <c r="AJ183" s="180"/>
    </row>
    <row r="184" spans="1:36" ht="135" customHeight="1" thickBot="1" x14ac:dyDescent="0.45">
      <c r="A184" s="301"/>
      <c r="B184" s="1300" t="s">
        <v>1621</v>
      </c>
      <c r="C184" s="1299"/>
      <c r="D184" s="451"/>
      <c r="E184" s="476">
        <v>0.1</v>
      </c>
      <c r="F184" s="480"/>
      <c r="G184" s="481"/>
      <c r="H184" s="482"/>
      <c r="I184" s="478">
        <f>+AVERAGE(I185)</f>
        <v>4.2000000000000003E-2</v>
      </c>
      <c r="J184" s="478">
        <f>+AVERAGE(J185)</f>
        <v>0.33</v>
      </c>
      <c r="K184" s="478">
        <f>+K185</f>
        <v>4.2000000000000003E-2</v>
      </c>
      <c r="L184" s="478">
        <f>+L185</f>
        <v>0.33</v>
      </c>
      <c r="M184" s="479"/>
      <c r="N184" s="485"/>
      <c r="O184" s="485"/>
      <c r="P184" s="485"/>
      <c r="Q184" s="485"/>
      <c r="R184" s="1200"/>
      <c r="S184" s="485"/>
      <c r="T184" s="485"/>
      <c r="U184" s="544">
        <f>+AVERAGE(U185)</f>
        <v>0</v>
      </c>
      <c r="V184" s="544">
        <f>+AVERAGE(V185)</f>
        <v>7.575757575757576E-2</v>
      </c>
      <c r="W184" s="544">
        <f>+(W185)*E184</f>
        <v>0</v>
      </c>
      <c r="X184" s="544">
        <f>+(X185)*E184</f>
        <v>7.575757575757576E-3</v>
      </c>
      <c r="Y184" s="499">
        <f>+AVERAGE(Y185)</f>
        <v>0</v>
      </c>
      <c r="Z184" s="564">
        <f>+AVERAGE(Z185)</f>
        <v>2.5000000000000001E-2</v>
      </c>
      <c r="AA184" s="499">
        <f>+(AA185)*E184</f>
        <v>0</v>
      </c>
      <c r="AB184" s="556">
        <f>+(AB185)</f>
        <v>2.5000000000000001E-2</v>
      </c>
      <c r="AC184" s="201"/>
      <c r="AD184" s="450"/>
      <c r="AE184" s="450"/>
      <c r="AF184" s="450"/>
      <c r="AG184" s="450"/>
      <c r="AH184" s="450"/>
      <c r="AI184" s="225"/>
      <c r="AJ184" s="180"/>
    </row>
    <row r="185" spans="1:36" ht="135" customHeight="1" thickBot="1" x14ac:dyDescent="0.4">
      <c r="A185" s="301"/>
      <c r="B185" s="1195" t="s">
        <v>314</v>
      </c>
      <c r="C185" s="1195" t="s">
        <v>315</v>
      </c>
      <c r="D185" s="452" t="s">
        <v>297</v>
      </c>
      <c r="E185" s="352">
        <v>1</v>
      </c>
      <c r="F185" s="480">
        <v>5000</v>
      </c>
      <c r="G185" s="481">
        <v>210</v>
      </c>
      <c r="H185" s="288">
        <v>1650</v>
      </c>
      <c r="I185" s="483">
        <f>+G185/F185</f>
        <v>4.2000000000000003E-2</v>
      </c>
      <c r="J185" s="486">
        <f t="shared" si="139"/>
        <v>0.33</v>
      </c>
      <c r="K185" s="483">
        <f>+(G185/F185)*E185</f>
        <v>4.2000000000000003E-2</v>
      </c>
      <c r="L185" s="486">
        <f t="shared" si="132"/>
        <v>0.33</v>
      </c>
      <c r="M185" s="481">
        <v>0</v>
      </c>
      <c r="N185" s="542">
        <v>0</v>
      </c>
      <c r="O185" s="542">
        <v>92</v>
      </c>
      <c r="P185" s="542">
        <v>33</v>
      </c>
      <c r="Q185" s="542">
        <v>0</v>
      </c>
      <c r="R185" s="542">
        <v>0</v>
      </c>
      <c r="S185" s="482">
        <f>+N185+O185+P185+Q185+R185</f>
        <v>125</v>
      </c>
      <c r="T185" s="482">
        <f t="shared" si="133"/>
        <v>125</v>
      </c>
      <c r="U185" s="535">
        <f>+(M185/G185)</f>
        <v>0</v>
      </c>
      <c r="V185" s="520">
        <f t="shared" si="134"/>
        <v>7.575757575757576E-2</v>
      </c>
      <c r="W185" s="535">
        <f>+U185*E185</f>
        <v>0</v>
      </c>
      <c r="X185" s="520">
        <f t="shared" si="137"/>
        <v>7.575757575757576E-2</v>
      </c>
      <c r="Y185" s="560">
        <f>+M185/F185</f>
        <v>0</v>
      </c>
      <c r="Z185" s="1130">
        <f t="shared" si="136"/>
        <v>2.5000000000000001E-2</v>
      </c>
      <c r="AA185" s="560">
        <f>+Y185*E185</f>
        <v>0</v>
      </c>
      <c r="AB185" s="561">
        <f>+Z185*E185</f>
        <v>2.5000000000000001E-2</v>
      </c>
      <c r="AC185" s="208" t="s">
        <v>1850</v>
      </c>
      <c r="AD185" s="717" t="s">
        <v>1893</v>
      </c>
      <c r="AE185" s="717" t="s">
        <v>2272</v>
      </c>
      <c r="AF185" s="717" t="s">
        <v>2294</v>
      </c>
      <c r="AG185" s="759" t="s">
        <v>2411</v>
      </c>
      <c r="AH185" s="676" t="s">
        <v>2474</v>
      </c>
      <c r="AI185" s="759" t="s">
        <v>2558</v>
      </c>
      <c r="AJ185" s="180"/>
    </row>
    <row r="186" spans="1:36" ht="135" customHeight="1" thickBot="1" x14ac:dyDescent="0.45">
      <c r="A186" s="301"/>
      <c r="B186" s="1300" t="s">
        <v>1622</v>
      </c>
      <c r="C186" s="1299"/>
      <c r="D186" s="451"/>
      <c r="E186" s="476">
        <v>0.1</v>
      </c>
      <c r="F186" s="480"/>
      <c r="G186" s="481"/>
      <c r="H186" s="482"/>
      <c r="I186" s="478">
        <f>+AVERAGE(I187:I191)</f>
        <v>0.13873355263157894</v>
      </c>
      <c r="J186" s="478">
        <f>+AVERAGE(J187:J191)</f>
        <v>0.30382894736842103</v>
      </c>
      <c r="K186" s="478">
        <f>+K187+K188+K189+K190+K191</f>
        <v>0.11001315789473685</v>
      </c>
      <c r="L186" s="478">
        <f>+L187+L188+L189+L190+L191</f>
        <v>0.30417105263157895</v>
      </c>
      <c r="M186" s="479"/>
      <c r="N186" s="485"/>
      <c r="O186" s="485"/>
      <c r="P186" s="485"/>
      <c r="Q186" s="485"/>
      <c r="R186" s="1200"/>
      <c r="S186" s="485"/>
      <c r="T186" s="485"/>
      <c r="U186" s="544">
        <f>+AVERAGE(U187:U191)</f>
        <v>1</v>
      </c>
      <c r="V186" s="544">
        <f>+AVERAGE(V187:V191)</f>
        <v>0.98120000000000007</v>
      </c>
      <c r="W186" s="544">
        <f>+(W187+W188+W189+W190+W191)*E186</f>
        <v>8.0000000000000016E-2</v>
      </c>
      <c r="X186" s="544">
        <f>+(X187+X188+X189+X190+X191)*E186</f>
        <v>9.8208000000000018E-2</v>
      </c>
      <c r="Y186" s="499">
        <f>+AVERAGE(Y187:Y191)</f>
        <v>0.18213075657894739</v>
      </c>
      <c r="Z186" s="564">
        <f>+AVERAGE(Z187:Z191)</f>
        <v>0.58277039473684211</v>
      </c>
      <c r="AA186" s="499">
        <f>+(AA187+AA188+AA189+AA190+AA191)*E186</f>
        <v>1.4271164473684213E-2</v>
      </c>
      <c r="AB186" s="556">
        <f>+(AB187+AB188+AB189+AB190+AB191)</f>
        <v>0.58047085526315789</v>
      </c>
      <c r="AC186" s="201"/>
      <c r="AD186" s="450"/>
      <c r="AE186" s="450"/>
      <c r="AF186" s="450"/>
      <c r="AG186" s="450"/>
      <c r="AH186" s="450"/>
      <c r="AI186" s="225"/>
      <c r="AJ186" s="180"/>
    </row>
    <row r="187" spans="1:36" ht="135" customHeight="1" thickBot="1" x14ac:dyDescent="0.4">
      <c r="A187" s="301"/>
      <c r="B187" s="1195" t="s">
        <v>316</v>
      </c>
      <c r="C187" s="1195" t="s">
        <v>317</v>
      </c>
      <c r="D187" s="452" t="s">
        <v>297</v>
      </c>
      <c r="E187" s="352">
        <v>0.24</v>
      </c>
      <c r="F187" s="480">
        <v>8000</v>
      </c>
      <c r="G187" s="481">
        <v>350</v>
      </c>
      <c r="H187" s="481">
        <v>2550</v>
      </c>
      <c r="I187" s="483">
        <f>+G187/F187</f>
        <v>4.3749999999999997E-2</v>
      </c>
      <c r="J187" s="486">
        <f t="shared" si="139"/>
        <v>0.31874999999999998</v>
      </c>
      <c r="K187" s="483">
        <f>+(G187/F187)*E187</f>
        <v>1.0499999999999999E-2</v>
      </c>
      <c r="L187" s="486">
        <f t="shared" si="132"/>
        <v>7.6499999999999999E-2</v>
      </c>
      <c r="M187" s="481">
        <v>477</v>
      </c>
      <c r="N187" s="542">
        <v>32</v>
      </c>
      <c r="O187" s="542">
        <v>500</v>
      </c>
      <c r="P187" s="542">
        <v>1013</v>
      </c>
      <c r="Q187" s="542">
        <v>137</v>
      </c>
      <c r="R187" s="542">
        <v>938</v>
      </c>
      <c r="S187" s="482">
        <f>+N187+O187+P187+Q187+R187</f>
        <v>2620</v>
      </c>
      <c r="T187" s="482">
        <f t="shared" si="133"/>
        <v>3097</v>
      </c>
      <c r="U187" s="483">
        <v>1</v>
      </c>
      <c r="V187" s="520">
        <v>1</v>
      </c>
      <c r="W187" s="535">
        <f>+U187*E187</f>
        <v>0.24</v>
      </c>
      <c r="X187" s="520">
        <f t="shared" si="137"/>
        <v>0.24</v>
      </c>
      <c r="Y187" s="560">
        <f>+M187/F187</f>
        <v>5.9624999999999997E-2</v>
      </c>
      <c r="Z187" s="567">
        <f>+T187/F187</f>
        <v>0.387125</v>
      </c>
      <c r="AA187" s="560">
        <f>+Y187*E187</f>
        <v>1.4309999999999998E-2</v>
      </c>
      <c r="AB187" s="561">
        <f>+Z187*E187</f>
        <v>9.2909999999999993E-2</v>
      </c>
      <c r="AC187" s="208" t="s">
        <v>1850</v>
      </c>
      <c r="AD187" s="717" t="s">
        <v>1893</v>
      </c>
      <c r="AE187" s="717" t="s">
        <v>2272</v>
      </c>
      <c r="AF187" s="717" t="s">
        <v>2294</v>
      </c>
      <c r="AG187" s="759" t="s">
        <v>2411</v>
      </c>
      <c r="AH187" s="759" t="s">
        <v>2445</v>
      </c>
      <c r="AI187" s="759" t="s">
        <v>2558</v>
      </c>
      <c r="AJ187" s="180"/>
    </row>
    <row r="188" spans="1:36" ht="135" customHeight="1" thickBot="1" x14ac:dyDescent="0.4">
      <c r="A188" s="301"/>
      <c r="B188" s="1195" t="s">
        <v>318</v>
      </c>
      <c r="C188" s="1195" t="s">
        <v>319</v>
      </c>
      <c r="D188" s="452" t="s">
        <v>297</v>
      </c>
      <c r="E188" s="352">
        <v>0.2</v>
      </c>
      <c r="F188" s="480">
        <v>1</v>
      </c>
      <c r="G188" s="481">
        <v>0</v>
      </c>
      <c r="H188" s="481">
        <v>0.33</v>
      </c>
      <c r="I188" s="483"/>
      <c r="J188" s="486">
        <f t="shared" si="139"/>
        <v>0.33</v>
      </c>
      <c r="K188" s="483"/>
      <c r="L188" s="486">
        <f t="shared" si="132"/>
        <v>6.6000000000000003E-2</v>
      </c>
      <c r="M188" s="481"/>
      <c r="N188" s="542">
        <v>0</v>
      </c>
      <c r="O188" s="542">
        <v>0</v>
      </c>
      <c r="P188" s="542">
        <v>0</v>
      </c>
      <c r="Q188" s="542">
        <v>1</v>
      </c>
      <c r="R188" s="542">
        <v>0</v>
      </c>
      <c r="S188" s="482">
        <f t="shared" ref="S188:S191" si="141">+N188+O188+P188+Q188+R188</f>
        <v>1</v>
      </c>
      <c r="T188" s="482">
        <f t="shared" si="133"/>
        <v>1</v>
      </c>
      <c r="U188" s="483"/>
      <c r="V188" s="520">
        <v>1</v>
      </c>
      <c r="W188" s="535"/>
      <c r="X188" s="520">
        <f t="shared" si="137"/>
        <v>0.2</v>
      </c>
      <c r="Y188" s="560"/>
      <c r="Z188" s="567">
        <f t="shared" si="136"/>
        <v>1</v>
      </c>
      <c r="AA188" s="560"/>
      <c r="AB188" s="561">
        <f>+Z188*E188</f>
        <v>0.2</v>
      </c>
      <c r="AC188" s="208" t="s">
        <v>1850</v>
      </c>
      <c r="AD188" s="718" t="s">
        <v>1938</v>
      </c>
      <c r="AE188" s="717" t="s">
        <v>2272</v>
      </c>
      <c r="AF188" s="717" t="s">
        <v>2294</v>
      </c>
      <c r="AG188" s="759" t="s">
        <v>2411</v>
      </c>
      <c r="AH188" s="759" t="s">
        <v>2446</v>
      </c>
      <c r="AI188" s="759" t="s">
        <v>2558</v>
      </c>
      <c r="AJ188" s="180"/>
    </row>
    <row r="189" spans="1:36" ht="135" customHeight="1" thickBot="1" x14ac:dyDescent="0.4">
      <c r="A189" s="301"/>
      <c r="B189" s="1195" t="s">
        <v>320</v>
      </c>
      <c r="C189" s="1195" t="s">
        <v>321</v>
      </c>
      <c r="D189" s="452" t="s">
        <v>297</v>
      </c>
      <c r="E189" s="352">
        <v>0.18</v>
      </c>
      <c r="F189" s="480">
        <v>3800</v>
      </c>
      <c r="G189" s="481">
        <v>280</v>
      </c>
      <c r="H189" s="481">
        <v>1170</v>
      </c>
      <c r="I189" s="483">
        <f>+G189/F189</f>
        <v>7.3684210526315783E-2</v>
      </c>
      <c r="J189" s="486">
        <f t="shared" si="139"/>
        <v>0.30789473684210528</v>
      </c>
      <c r="K189" s="483">
        <f>+(G189/F189)*E189</f>
        <v>1.326315789473684E-2</v>
      </c>
      <c r="L189" s="486">
        <f>+(H189/F189)*E189</f>
        <v>5.5421052631578947E-2</v>
      </c>
      <c r="M189" s="481">
        <v>529</v>
      </c>
      <c r="N189" s="542">
        <v>0</v>
      </c>
      <c r="O189" s="542">
        <v>180</v>
      </c>
      <c r="P189" s="542">
        <v>226</v>
      </c>
      <c r="Q189" s="542">
        <v>373</v>
      </c>
      <c r="R189" s="542">
        <v>443</v>
      </c>
      <c r="S189" s="482">
        <f t="shared" si="141"/>
        <v>1222</v>
      </c>
      <c r="T189" s="482">
        <f t="shared" si="133"/>
        <v>1751</v>
      </c>
      <c r="U189" s="483">
        <v>1</v>
      </c>
      <c r="V189" s="520">
        <v>1</v>
      </c>
      <c r="W189" s="535">
        <f>+U189*E189</f>
        <v>0.18</v>
      </c>
      <c r="X189" s="520">
        <f t="shared" si="137"/>
        <v>0.18</v>
      </c>
      <c r="Y189" s="560">
        <f>+M189/F189</f>
        <v>0.13921052631578948</v>
      </c>
      <c r="Z189" s="561">
        <f t="shared" si="136"/>
        <v>0.46078947368421053</v>
      </c>
      <c r="AA189" s="560">
        <f>+Y189*E189</f>
        <v>2.5057894736842105E-2</v>
      </c>
      <c r="AB189" s="561">
        <f>+Z189*E189</f>
        <v>8.2942105263157886E-2</v>
      </c>
      <c r="AC189" s="208" t="s">
        <v>1850</v>
      </c>
      <c r="AD189" s="717" t="s">
        <v>1893</v>
      </c>
      <c r="AE189" s="717" t="s">
        <v>2272</v>
      </c>
      <c r="AF189" s="717" t="s">
        <v>2294</v>
      </c>
      <c r="AG189" s="759" t="s">
        <v>2411</v>
      </c>
      <c r="AH189" s="676" t="s">
        <v>2474</v>
      </c>
      <c r="AI189" s="759" t="s">
        <v>2558</v>
      </c>
      <c r="AJ189" s="180"/>
    </row>
    <row r="190" spans="1:36" ht="135" customHeight="1" thickBot="1" x14ac:dyDescent="0.4">
      <c r="A190" s="301"/>
      <c r="B190" s="1195" t="s">
        <v>322</v>
      </c>
      <c r="C190" s="1195" t="s">
        <v>323</v>
      </c>
      <c r="D190" s="452" t="s">
        <v>297</v>
      </c>
      <c r="E190" s="352">
        <v>0.2</v>
      </c>
      <c r="F190" s="480">
        <v>80</v>
      </c>
      <c r="G190" s="481">
        <v>30</v>
      </c>
      <c r="H190" s="481">
        <v>20</v>
      </c>
      <c r="I190" s="483">
        <f>+G190/F190</f>
        <v>0.375</v>
      </c>
      <c r="J190" s="486">
        <f t="shared" si="139"/>
        <v>0.25</v>
      </c>
      <c r="K190" s="483">
        <f>+(G190/F190)*E190</f>
        <v>7.5000000000000011E-2</v>
      </c>
      <c r="L190" s="486">
        <f t="shared" si="132"/>
        <v>0.05</v>
      </c>
      <c r="M190" s="481">
        <v>32</v>
      </c>
      <c r="N190" s="542">
        <v>3</v>
      </c>
      <c r="O190" s="542">
        <v>3</v>
      </c>
      <c r="P190" s="542">
        <v>4</v>
      </c>
      <c r="Q190" s="542">
        <v>2</v>
      </c>
      <c r="R190" s="542">
        <v>7</v>
      </c>
      <c r="S190" s="482">
        <f t="shared" si="141"/>
        <v>19</v>
      </c>
      <c r="T190" s="482">
        <f t="shared" si="133"/>
        <v>51</v>
      </c>
      <c r="U190" s="483">
        <v>1</v>
      </c>
      <c r="V190" s="520">
        <f t="shared" si="134"/>
        <v>0.95</v>
      </c>
      <c r="W190" s="535">
        <f>+U190*E190</f>
        <v>0.2</v>
      </c>
      <c r="X190" s="520">
        <f t="shared" si="137"/>
        <v>0.19</v>
      </c>
      <c r="Y190" s="560">
        <f>+M190/F190</f>
        <v>0.4</v>
      </c>
      <c r="Z190" s="561">
        <f t="shared" si="136"/>
        <v>0.63749999999999996</v>
      </c>
      <c r="AA190" s="560">
        <f>+Y190*E190</f>
        <v>8.0000000000000016E-2</v>
      </c>
      <c r="AB190" s="561">
        <f>+Z190*E190</f>
        <v>0.1275</v>
      </c>
      <c r="AC190" s="208" t="s">
        <v>1850</v>
      </c>
      <c r="AD190" s="717" t="s">
        <v>1893</v>
      </c>
      <c r="AE190" s="717" t="s">
        <v>2272</v>
      </c>
      <c r="AF190" s="717" t="s">
        <v>2294</v>
      </c>
      <c r="AG190" s="759" t="s">
        <v>2411</v>
      </c>
      <c r="AH190" s="759" t="s">
        <v>2445</v>
      </c>
      <c r="AI190" s="759" t="s">
        <v>2558</v>
      </c>
      <c r="AJ190" s="180"/>
    </row>
    <row r="191" spans="1:36" ht="135" customHeight="1" thickBot="1" x14ac:dyDescent="0.4">
      <c r="A191" s="301"/>
      <c r="B191" s="1195" t="s">
        <v>324</v>
      </c>
      <c r="C191" s="1195" t="s">
        <v>325</v>
      </c>
      <c r="D191" s="452" t="s">
        <v>297</v>
      </c>
      <c r="E191" s="352">
        <v>0.18</v>
      </c>
      <c r="F191" s="480">
        <v>3200</v>
      </c>
      <c r="G191" s="481">
        <v>200</v>
      </c>
      <c r="H191" s="481">
        <v>1000</v>
      </c>
      <c r="I191" s="483">
        <f>+G191/F191</f>
        <v>6.25E-2</v>
      </c>
      <c r="J191" s="486">
        <f t="shared" si="139"/>
        <v>0.3125</v>
      </c>
      <c r="K191" s="483">
        <f>+(G191/F191)*E191</f>
        <v>1.125E-2</v>
      </c>
      <c r="L191" s="486">
        <f t="shared" si="132"/>
        <v>5.6249999999999994E-2</v>
      </c>
      <c r="M191" s="481">
        <v>415</v>
      </c>
      <c r="N191" s="542">
        <v>98</v>
      </c>
      <c r="O191" s="542">
        <v>104</v>
      </c>
      <c r="P191" s="542">
        <v>129</v>
      </c>
      <c r="Q191" s="542">
        <v>110</v>
      </c>
      <c r="R191" s="542">
        <v>515</v>
      </c>
      <c r="S191" s="482">
        <f t="shared" si="141"/>
        <v>956</v>
      </c>
      <c r="T191" s="482">
        <f t="shared" si="133"/>
        <v>1371</v>
      </c>
      <c r="U191" s="483">
        <v>1</v>
      </c>
      <c r="V191" s="520">
        <f t="shared" si="134"/>
        <v>0.95599999999999996</v>
      </c>
      <c r="W191" s="535">
        <f>+U191*E191</f>
        <v>0.18</v>
      </c>
      <c r="X191" s="520">
        <f t="shared" si="137"/>
        <v>0.17207999999999998</v>
      </c>
      <c r="Y191" s="560">
        <f>+M191/F191</f>
        <v>0.12968750000000001</v>
      </c>
      <c r="Z191" s="562">
        <f t="shared" si="136"/>
        <v>0.42843750000000003</v>
      </c>
      <c r="AA191" s="560">
        <f>+Y191*E191</f>
        <v>2.334375E-2</v>
      </c>
      <c r="AB191" s="561">
        <f>+Z191*E191</f>
        <v>7.711875E-2</v>
      </c>
      <c r="AC191" s="208" t="s">
        <v>1850</v>
      </c>
      <c r="AD191" s="717" t="s">
        <v>1893</v>
      </c>
      <c r="AE191" s="717" t="s">
        <v>2272</v>
      </c>
      <c r="AF191" s="717" t="s">
        <v>2294</v>
      </c>
      <c r="AG191" s="759" t="s">
        <v>2411</v>
      </c>
      <c r="AH191" s="759" t="s">
        <v>2445</v>
      </c>
      <c r="AI191" s="759" t="s">
        <v>2558</v>
      </c>
      <c r="AJ191" s="180"/>
    </row>
    <row r="192" spans="1:36" ht="135" customHeight="1" thickBot="1" x14ac:dyDescent="0.45">
      <c r="A192" s="301"/>
      <c r="B192" s="1300" t="s">
        <v>1623</v>
      </c>
      <c r="C192" s="1299"/>
      <c r="D192" s="451"/>
      <c r="E192" s="476">
        <v>0.1</v>
      </c>
      <c r="F192" s="480"/>
      <c r="G192" s="481"/>
      <c r="H192" s="482"/>
      <c r="I192" s="478">
        <f>+AVERAGE(I193:I194)</f>
        <v>1.2500000000000001E-2</v>
      </c>
      <c r="J192" s="478">
        <f>+AVERAGE(J193:J194)</f>
        <v>0.31666666666666665</v>
      </c>
      <c r="K192" s="478">
        <f>+K193+K194</f>
        <v>3.7499999999999999E-3</v>
      </c>
      <c r="L192" s="478">
        <f>+L193+L194</f>
        <v>0.32333333333333331</v>
      </c>
      <c r="M192" s="479"/>
      <c r="N192" s="485"/>
      <c r="O192" s="485"/>
      <c r="P192" s="485"/>
      <c r="Q192" s="485"/>
      <c r="R192" s="1200"/>
      <c r="S192" s="485"/>
      <c r="T192" s="485"/>
      <c r="U192" s="544">
        <f>+AVERAGE(U193:U194)</f>
        <v>1</v>
      </c>
      <c r="V192" s="544">
        <f>+AVERAGE(V193:V194)</f>
        <v>0.24791666666666667</v>
      </c>
      <c r="W192" s="544">
        <f>+(W193+W194)*E192</f>
        <v>0.03</v>
      </c>
      <c r="X192" s="544">
        <f>+(X193+X194)*E192</f>
        <v>2.5514999999999999E-2</v>
      </c>
      <c r="Y192" s="499">
        <f>+AVERAGE(Y193:Y194)</f>
        <v>1.2500000000000001E-2</v>
      </c>
      <c r="Z192" s="564">
        <f>+AVERAGE(Z193:Z194)</f>
        <v>8.5058333333333333E-2</v>
      </c>
      <c r="AA192" s="499">
        <f>+(AA193+AA194)*E192</f>
        <v>3.7500000000000001E-4</v>
      </c>
      <c r="AB192" s="556">
        <f>+(AB193+AB194)</f>
        <v>2.4434999999999998E-2</v>
      </c>
      <c r="AC192" s="201"/>
      <c r="AD192" s="450"/>
      <c r="AE192" s="450"/>
      <c r="AF192" s="450"/>
      <c r="AG192" s="450"/>
      <c r="AH192" s="450"/>
      <c r="AI192" s="225"/>
      <c r="AJ192" s="180"/>
    </row>
    <row r="193" spans="1:36" ht="135" customHeight="1" thickBot="1" x14ac:dyDescent="0.4">
      <c r="A193" s="301"/>
      <c r="B193" s="1195" t="s">
        <v>326</v>
      </c>
      <c r="C193" s="1195" t="s">
        <v>327</v>
      </c>
      <c r="D193" s="452" t="s">
        <v>297</v>
      </c>
      <c r="E193" s="352">
        <v>0.3</v>
      </c>
      <c r="F193" s="480">
        <v>20000</v>
      </c>
      <c r="G193" s="481">
        <v>250</v>
      </c>
      <c r="H193" s="481">
        <v>6000</v>
      </c>
      <c r="I193" s="483">
        <f>+G193/F193</f>
        <v>1.2500000000000001E-2</v>
      </c>
      <c r="J193" s="486">
        <f t="shared" si="139"/>
        <v>0.3</v>
      </c>
      <c r="K193" s="483">
        <f>+(G193/F193)*E193</f>
        <v>3.7499999999999999E-3</v>
      </c>
      <c r="L193" s="486">
        <f t="shared" si="132"/>
        <v>0.09</v>
      </c>
      <c r="M193" s="481">
        <v>250</v>
      </c>
      <c r="N193" s="542">
        <v>219</v>
      </c>
      <c r="O193" s="542">
        <v>331</v>
      </c>
      <c r="P193" s="542">
        <v>397</v>
      </c>
      <c r="Q193" s="542">
        <v>211</v>
      </c>
      <c r="R193" s="542">
        <v>221</v>
      </c>
      <c r="S193" s="482">
        <f>+N193+O193+P193+Q193+R193</f>
        <v>1379</v>
      </c>
      <c r="T193" s="482">
        <f t="shared" si="133"/>
        <v>1629</v>
      </c>
      <c r="U193" s="535">
        <f>+(M193/G193)</f>
        <v>1</v>
      </c>
      <c r="V193" s="520">
        <f t="shared" si="134"/>
        <v>0.22983333333333333</v>
      </c>
      <c r="W193" s="535">
        <f>+U193*E193</f>
        <v>0.3</v>
      </c>
      <c r="X193" s="520">
        <f t="shared" si="137"/>
        <v>6.8949999999999997E-2</v>
      </c>
      <c r="Y193" s="560">
        <f>+M193/F193</f>
        <v>1.2500000000000001E-2</v>
      </c>
      <c r="Z193" s="567">
        <f t="shared" si="136"/>
        <v>8.1449999999999995E-2</v>
      </c>
      <c r="AA193" s="560">
        <f>+Y193*E193</f>
        <v>3.7499999999999999E-3</v>
      </c>
      <c r="AB193" s="561">
        <f>+Z193*E193</f>
        <v>2.4434999999999998E-2</v>
      </c>
      <c r="AC193" s="208" t="s">
        <v>1850</v>
      </c>
      <c r="AD193" s="717" t="s">
        <v>1893</v>
      </c>
      <c r="AE193" s="717" t="s">
        <v>2272</v>
      </c>
      <c r="AF193" s="717" t="s">
        <v>2294</v>
      </c>
      <c r="AG193" s="759" t="s">
        <v>2411</v>
      </c>
      <c r="AH193" s="676" t="s">
        <v>2474</v>
      </c>
      <c r="AI193" s="759" t="s">
        <v>2558</v>
      </c>
      <c r="AJ193" s="180"/>
    </row>
    <row r="194" spans="1:36" ht="135" customHeight="1" thickBot="1" x14ac:dyDescent="0.4">
      <c r="A194" s="301"/>
      <c r="B194" s="1195" t="s">
        <v>328</v>
      </c>
      <c r="C194" s="1195" t="s">
        <v>329</v>
      </c>
      <c r="D194" s="452" t="s">
        <v>297</v>
      </c>
      <c r="E194" s="352">
        <v>0.7</v>
      </c>
      <c r="F194" s="480">
        <v>3000</v>
      </c>
      <c r="G194" s="481">
        <v>0</v>
      </c>
      <c r="H194" s="481">
        <v>1000</v>
      </c>
      <c r="I194" s="483"/>
      <c r="J194" s="486">
        <f>+H194/F194</f>
        <v>0.33333333333333331</v>
      </c>
      <c r="K194" s="483"/>
      <c r="L194" s="486">
        <f>+(H194/F194)*E194</f>
        <v>0.23333333333333331</v>
      </c>
      <c r="M194" s="481"/>
      <c r="N194" s="542">
        <v>0</v>
      </c>
      <c r="O194" s="542">
        <v>0</v>
      </c>
      <c r="P194" s="542">
        <v>199</v>
      </c>
      <c r="Q194" s="542">
        <v>67</v>
      </c>
      <c r="R194" s="542">
        <v>0</v>
      </c>
      <c r="S194" s="482">
        <f>+N194+O194+P194+Q194+R194</f>
        <v>266</v>
      </c>
      <c r="T194" s="482">
        <f t="shared" si="133"/>
        <v>266</v>
      </c>
      <c r="U194" s="535"/>
      <c r="V194" s="520">
        <f t="shared" si="134"/>
        <v>0.26600000000000001</v>
      </c>
      <c r="W194" s="535"/>
      <c r="X194" s="520">
        <f t="shared" si="137"/>
        <v>0.1862</v>
      </c>
      <c r="Y194" s="560"/>
      <c r="Z194" s="567">
        <f t="shared" si="136"/>
        <v>8.8666666666666671E-2</v>
      </c>
      <c r="AA194" s="560"/>
      <c r="AB194" s="561"/>
      <c r="AC194" s="208" t="s">
        <v>1850</v>
      </c>
      <c r="AD194" s="718" t="s">
        <v>1938</v>
      </c>
      <c r="AE194" s="717" t="s">
        <v>2272</v>
      </c>
      <c r="AF194" s="717" t="s">
        <v>2294</v>
      </c>
      <c r="AG194" s="759" t="s">
        <v>2411</v>
      </c>
      <c r="AH194" s="759" t="s">
        <v>2445</v>
      </c>
      <c r="AI194" s="759" t="s">
        <v>2558</v>
      </c>
      <c r="AJ194" s="180"/>
    </row>
    <row r="195" spans="1:36" ht="135" customHeight="1" thickBot="1" x14ac:dyDescent="0.45">
      <c r="A195" s="301"/>
      <c r="B195" s="1300" t="s">
        <v>1624</v>
      </c>
      <c r="C195" s="1299"/>
      <c r="D195" s="451"/>
      <c r="E195" s="476">
        <v>0.1</v>
      </c>
      <c r="F195" s="480"/>
      <c r="G195" s="481"/>
      <c r="H195" s="482"/>
      <c r="I195" s="478">
        <f>+AVERAGE(I196:I198)</f>
        <v>0.19771672771672774</v>
      </c>
      <c r="J195" s="478">
        <f>+AVERAGE(J196:J198)</f>
        <v>0.28894993894993898</v>
      </c>
      <c r="K195" s="478">
        <f>+K196+K197+K198</f>
        <v>0.19857509157509157</v>
      </c>
      <c r="L195" s="478">
        <f>+L196+L197+L198</f>
        <v>0.29342490842490843</v>
      </c>
      <c r="M195" s="479"/>
      <c r="N195" s="485"/>
      <c r="O195" s="485"/>
      <c r="P195" s="485"/>
      <c r="Q195" s="485"/>
      <c r="R195" s="1200"/>
      <c r="S195" s="485"/>
      <c r="T195" s="485"/>
      <c r="U195" s="544">
        <f>+AVERAGE(U196:U198)</f>
        <v>0.68</v>
      </c>
      <c r="V195" s="544">
        <f>+AVERAGE(V196:V198)</f>
        <v>0.99259259259259258</v>
      </c>
      <c r="W195" s="544">
        <f>+(W196+W197+W198)*E195</f>
        <v>7.9000000000000015E-2</v>
      </c>
      <c r="X195" s="544">
        <f>+(X196+X197+X198)*E195</f>
        <v>9.9555555555555564E-2</v>
      </c>
      <c r="Y195" s="499">
        <f>+AVERAGE(Y196:Y198)</f>
        <v>0.20072039072039072</v>
      </c>
      <c r="Z195" s="564">
        <f>+AVERAGE(Z196:Z198)</f>
        <v>0.58818070818070811</v>
      </c>
      <c r="AA195" s="499">
        <f>+(AA196+AA197+AA198)*E195</f>
        <v>1.9708058608058607E-2</v>
      </c>
      <c r="AB195" s="556">
        <f>+(AB196+AB197+AB198)</f>
        <v>0.64027106227106223</v>
      </c>
      <c r="AC195" s="201"/>
      <c r="AD195" s="450"/>
      <c r="AE195" s="450"/>
      <c r="AF195" s="450"/>
      <c r="AG195" s="450"/>
      <c r="AH195" s="450"/>
      <c r="AI195" s="225"/>
      <c r="AJ195" s="180"/>
    </row>
    <row r="196" spans="1:36" ht="135" customHeight="1" thickBot="1" x14ac:dyDescent="0.4">
      <c r="A196" s="301"/>
      <c r="B196" s="1195" t="s">
        <v>330</v>
      </c>
      <c r="C196" s="1195" t="s">
        <v>331</v>
      </c>
      <c r="D196" s="452" t="s">
        <v>297</v>
      </c>
      <c r="E196" s="352">
        <v>0.5</v>
      </c>
      <c r="F196" s="480">
        <v>1092</v>
      </c>
      <c r="G196" s="481">
        <v>200</v>
      </c>
      <c r="H196" s="482">
        <v>346</v>
      </c>
      <c r="I196" s="483">
        <f>+G196/F196</f>
        <v>0.18315018315018314</v>
      </c>
      <c r="J196" s="486">
        <f t="shared" ref="J196:J211" si="142">+H196/F196</f>
        <v>0.31684981684981683</v>
      </c>
      <c r="K196" s="483">
        <f>+(G196/F196)*E196</f>
        <v>9.1575091575091569E-2</v>
      </c>
      <c r="L196" s="486">
        <f t="shared" ref="L196:L197" si="143">+(H196/F196)*E196</f>
        <v>0.15842490842490842</v>
      </c>
      <c r="M196" s="481">
        <v>188</v>
      </c>
      <c r="N196" s="542">
        <v>125</v>
      </c>
      <c r="O196" s="542">
        <v>45</v>
      </c>
      <c r="P196" s="542">
        <v>371</v>
      </c>
      <c r="Q196" s="542">
        <v>29</v>
      </c>
      <c r="R196" s="542">
        <v>106</v>
      </c>
      <c r="S196" s="482">
        <f>+N196+O196+P196+Q196+R196</f>
        <v>676</v>
      </c>
      <c r="T196" s="482">
        <f t="shared" si="133"/>
        <v>864</v>
      </c>
      <c r="U196" s="535">
        <f>+(M196/G196)</f>
        <v>0.94</v>
      </c>
      <c r="V196" s="520">
        <v>1</v>
      </c>
      <c r="W196" s="535">
        <f>+U196*E196</f>
        <v>0.47</v>
      </c>
      <c r="X196" s="520">
        <f t="shared" si="137"/>
        <v>0.5</v>
      </c>
      <c r="Y196" s="560">
        <f>+M196/F196</f>
        <v>0.17216117216117216</v>
      </c>
      <c r="Z196" s="567">
        <f t="shared" si="136"/>
        <v>0.79120879120879117</v>
      </c>
      <c r="AA196" s="560">
        <f>+Y196*E196</f>
        <v>8.608058608058608E-2</v>
      </c>
      <c r="AB196" s="561">
        <f>+Z196*E196</f>
        <v>0.39560439560439559</v>
      </c>
      <c r="AC196" s="208" t="s">
        <v>1850</v>
      </c>
      <c r="AD196" s="717" t="s">
        <v>1893</v>
      </c>
      <c r="AE196" s="717" t="s">
        <v>2272</v>
      </c>
      <c r="AF196" s="717" t="s">
        <v>2294</v>
      </c>
      <c r="AG196" s="759" t="s">
        <v>2411</v>
      </c>
      <c r="AH196" s="759" t="s">
        <v>2445</v>
      </c>
      <c r="AI196" s="759" t="s">
        <v>2558</v>
      </c>
      <c r="AJ196" s="180"/>
    </row>
    <row r="197" spans="1:36" ht="135" customHeight="1" thickBot="1" x14ac:dyDescent="0.4">
      <c r="A197" s="301"/>
      <c r="B197" s="1195" t="s">
        <v>332</v>
      </c>
      <c r="C197" s="1195" t="s">
        <v>333</v>
      </c>
      <c r="D197" s="452" t="s">
        <v>297</v>
      </c>
      <c r="E197" s="352">
        <v>0.3</v>
      </c>
      <c r="F197" s="480">
        <v>4</v>
      </c>
      <c r="G197" s="481">
        <v>1</v>
      </c>
      <c r="H197" s="482">
        <v>1</v>
      </c>
      <c r="I197" s="483">
        <f>+G197/F197</f>
        <v>0.25</v>
      </c>
      <c r="J197" s="486">
        <f t="shared" si="142"/>
        <v>0.25</v>
      </c>
      <c r="K197" s="483">
        <f>+(G197/F197)*E197</f>
        <v>7.4999999999999997E-2</v>
      </c>
      <c r="L197" s="486">
        <f t="shared" si="143"/>
        <v>7.4999999999999997E-2</v>
      </c>
      <c r="M197" s="481">
        <v>1</v>
      </c>
      <c r="N197" s="542">
        <v>1</v>
      </c>
      <c r="O197" s="542">
        <v>0</v>
      </c>
      <c r="P197" s="542">
        <v>0</v>
      </c>
      <c r="Q197" s="542">
        <v>0</v>
      </c>
      <c r="R197" s="542">
        <v>0</v>
      </c>
      <c r="S197" s="482">
        <f t="shared" ref="S197:S198" si="144">+N197+O197+P197+Q197+R197</f>
        <v>1</v>
      </c>
      <c r="T197" s="482">
        <f t="shared" si="133"/>
        <v>2</v>
      </c>
      <c r="U197" s="535">
        <f>+(M197/G197)</f>
        <v>1</v>
      </c>
      <c r="V197" s="520">
        <f t="shared" si="134"/>
        <v>1</v>
      </c>
      <c r="W197" s="535">
        <f>+U197*E197</f>
        <v>0.3</v>
      </c>
      <c r="X197" s="520">
        <f>+V197*E197</f>
        <v>0.3</v>
      </c>
      <c r="Y197" s="560">
        <f>+M197/F197</f>
        <v>0.25</v>
      </c>
      <c r="Z197" s="561">
        <f t="shared" si="136"/>
        <v>0.5</v>
      </c>
      <c r="AA197" s="560">
        <f>+Y197*E197</f>
        <v>7.4999999999999997E-2</v>
      </c>
      <c r="AB197" s="561">
        <f>+Z197*E197</f>
        <v>0.15</v>
      </c>
      <c r="AC197" s="208" t="s">
        <v>1850</v>
      </c>
      <c r="AD197" s="717" t="s">
        <v>1893</v>
      </c>
      <c r="AE197" s="717" t="s">
        <v>2272</v>
      </c>
      <c r="AF197" s="717" t="s">
        <v>2294</v>
      </c>
      <c r="AG197" s="759" t="s">
        <v>2411</v>
      </c>
      <c r="AH197" s="759" t="s">
        <v>2445</v>
      </c>
      <c r="AI197" s="759" t="s">
        <v>2558</v>
      </c>
      <c r="AJ197" s="180"/>
    </row>
    <row r="198" spans="1:36" ht="135" customHeight="1" thickBot="1" x14ac:dyDescent="0.4">
      <c r="A198" s="301"/>
      <c r="B198" s="1195" t="s">
        <v>334</v>
      </c>
      <c r="C198" s="1195" t="s">
        <v>335</v>
      </c>
      <c r="D198" s="452" t="s">
        <v>297</v>
      </c>
      <c r="E198" s="352">
        <v>0.2</v>
      </c>
      <c r="F198" s="480">
        <v>150</v>
      </c>
      <c r="G198" s="481">
        <v>24</v>
      </c>
      <c r="H198" s="482">
        <v>45</v>
      </c>
      <c r="I198" s="483">
        <f>+G198/F198</f>
        <v>0.16</v>
      </c>
      <c r="J198" s="486">
        <f t="shared" si="142"/>
        <v>0.3</v>
      </c>
      <c r="K198" s="483">
        <f>+(G198/F198)*E198</f>
        <v>3.2000000000000001E-2</v>
      </c>
      <c r="L198" s="486">
        <f>+(H198/F198)*E198</f>
        <v>0.06</v>
      </c>
      <c r="M198" s="481">
        <v>27</v>
      </c>
      <c r="N198" s="542">
        <v>0</v>
      </c>
      <c r="O198" s="542">
        <v>6</v>
      </c>
      <c r="P198" s="542">
        <v>25</v>
      </c>
      <c r="Q198" s="542">
        <v>7</v>
      </c>
      <c r="R198" s="542">
        <v>6</v>
      </c>
      <c r="S198" s="482">
        <f t="shared" si="144"/>
        <v>44</v>
      </c>
      <c r="T198" s="482">
        <f t="shared" si="133"/>
        <v>71</v>
      </c>
      <c r="U198" s="535">
        <v>0.1</v>
      </c>
      <c r="V198" s="520">
        <f t="shared" si="134"/>
        <v>0.97777777777777775</v>
      </c>
      <c r="W198" s="535">
        <f>+U198*E198</f>
        <v>2.0000000000000004E-2</v>
      </c>
      <c r="X198" s="520">
        <f t="shared" si="137"/>
        <v>0.19555555555555557</v>
      </c>
      <c r="Y198" s="560">
        <f>+M198/F198</f>
        <v>0.18</v>
      </c>
      <c r="Z198" s="562">
        <f t="shared" si="136"/>
        <v>0.47333333333333333</v>
      </c>
      <c r="AA198" s="560">
        <f>+Y198*E198</f>
        <v>3.5999999999999997E-2</v>
      </c>
      <c r="AB198" s="561">
        <f>+Z198*E198</f>
        <v>9.4666666666666677E-2</v>
      </c>
      <c r="AC198" s="208" t="s">
        <v>1850</v>
      </c>
      <c r="AD198" s="717" t="s">
        <v>1893</v>
      </c>
      <c r="AE198" s="717" t="s">
        <v>2272</v>
      </c>
      <c r="AF198" s="717" t="s">
        <v>2294</v>
      </c>
      <c r="AG198" s="759" t="s">
        <v>2411</v>
      </c>
      <c r="AH198" s="759" t="s">
        <v>2445</v>
      </c>
      <c r="AI198" s="759" t="s">
        <v>2558</v>
      </c>
      <c r="AJ198" s="180"/>
    </row>
    <row r="199" spans="1:36" ht="135" customHeight="1" thickBot="1" x14ac:dyDescent="0.45">
      <c r="A199" s="301"/>
      <c r="B199" s="1300" t="s">
        <v>1625</v>
      </c>
      <c r="C199" s="1299"/>
      <c r="D199" s="451"/>
      <c r="E199" s="476">
        <v>0.1</v>
      </c>
      <c r="F199" s="480"/>
      <c r="G199" s="481"/>
      <c r="H199" s="482"/>
      <c r="I199" s="478">
        <f>+AVERAGE(I200:I202)</f>
        <v>0.14374999999999999</v>
      </c>
      <c r="J199" s="478">
        <f>+AVERAGE(J200:J202)</f>
        <v>0.36074640522875817</v>
      </c>
      <c r="K199" s="478">
        <f>+K200+K201+K202</f>
        <v>6.7500000000000004E-2</v>
      </c>
      <c r="L199" s="478">
        <f>+L200+L201+L202</f>
        <v>0.36927960784313729</v>
      </c>
      <c r="M199" s="479"/>
      <c r="N199" s="485"/>
      <c r="O199" s="485"/>
      <c r="P199" s="485"/>
      <c r="Q199" s="485"/>
      <c r="R199" s="1200"/>
      <c r="S199" s="485"/>
      <c r="T199" s="485"/>
      <c r="U199" s="544">
        <f>+AVERAGE(U200:U202)</f>
        <v>0.72222222222222221</v>
      </c>
      <c r="V199" s="544">
        <f>+AVERAGE(V200:V202)</f>
        <v>0.70303030303030312</v>
      </c>
      <c r="W199" s="544">
        <f>+(W200+W201+W202)*E199</f>
        <v>3.888888888888889E-2</v>
      </c>
      <c r="X199" s="544">
        <f>+(X200+X201+X202)*E199</f>
        <v>7.0454545454545464E-2</v>
      </c>
      <c r="Y199" s="499">
        <f>+AVERAGE(Y200:Y202)</f>
        <v>0.25741666666666668</v>
      </c>
      <c r="Z199" s="564">
        <f>+AVERAGE(Z200:Z202)</f>
        <v>0.4186372549019608</v>
      </c>
      <c r="AA199" s="499">
        <f>+(AA200+AA201+AA202)*E199</f>
        <v>1.4611666666666665E-2</v>
      </c>
      <c r="AB199" s="556">
        <f>+(AB200+AB201+AB202)</f>
        <v>0.40015588235294119</v>
      </c>
      <c r="AC199" s="201"/>
      <c r="AD199" s="450"/>
      <c r="AE199" s="450"/>
      <c r="AF199" s="450"/>
      <c r="AG199" s="450"/>
      <c r="AH199" s="450"/>
      <c r="AI199" s="225"/>
      <c r="AJ199" s="180"/>
    </row>
    <row r="200" spans="1:36" ht="135" customHeight="1" thickBot="1" x14ac:dyDescent="0.4">
      <c r="A200" s="301"/>
      <c r="B200" s="1195" t="s">
        <v>336</v>
      </c>
      <c r="C200" s="1195" t="s">
        <v>337</v>
      </c>
      <c r="D200" s="452" t="s">
        <v>297</v>
      </c>
      <c r="E200" s="352">
        <v>0.3</v>
      </c>
      <c r="F200" s="480">
        <v>10000</v>
      </c>
      <c r="G200" s="481">
        <v>1000</v>
      </c>
      <c r="H200" s="288">
        <f>4000-1658</f>
        <v>2342</v>
      </c>
      <c r="I200" s="483">
        <f>+G200/F200</f>
        <v>0.1</v>
      </c>
      <c r="J200" s="486">
        <f t="shared" si="142"/>
        <v>0.23419999999999999</v>
      </c>
      <c r="K200" s="483">
        <f>+(G200/F200)*E200</f>
        <v>0.03</v>
      </c>
      <c r="L200" s="486">
        <f t="shared" ref="L200:L208" si="145">+(H200/F200)*E200</f>
        <v>7.0259999999999989E-2</v>
      </c>
      <c r="M200" s="481">
        <v>4315</v>
      </c>
      <c r="N200" s="542">
        <v>0</v>
      </c>
      <c r="O200" s="542">
        <v>0</v>
      </c>
      <c r="P200" s="542">
        <v>2700</v>
      </c>
      <c r="Q200" s="542">
        <v>0</v>
      </c>
      <c r="R200" s="542">
        <v>0</v>
      </c>
      <c r="S200" s="482">
        <f>+N200+O200+P200+Q200+R200</f>
        <v>2700</v>
      </c>
      <c r="T200" s="482">
        <f t="shared" si="133"/>
        <v>7015</v>
      </c>
      <c r="U200" s="535">
        <v>1</v>
      </c>
      <c r="V200" s="520">
        <v>1</v>
      </c>
      <c r="W200" s="535">
        <f>+U200*E200</f>
        <v>0.3</v>
      </c>
      <c r="X200" s="520">
        <f t="shared" si="137"/>
        <v>0.3</v>
      </c>
      <c r="Y200" s="560">
        <f>+M200/F200</f>
        <v>0.43149999999999999</v>
      </c>
      <c r="Z200" s="567">
        <f t="shared" si="136"/>
        <v>0.70150000000000001</v>
      </c>
      <c r="AA200" s="560">
        <f>+Y200*E200</f>
        <v>0.12944999999999998</v>
      </c>
      <c r="AB200" s="561">
        <f>+Z200*E200</f>
        <v>0.21045</v>
      </c>
      <c r="AC200" s="208" t="s">
        <v>1850</v>
      </c>
      <c r="AD200" s="717" t="s">
        <v>1893</v>
      </c>
      <c r="AE200" s="717" t="s">
        <v>2272</v>
      </c>
      <c r="AF200" s="717" t="s">
        <v>2294</v>
      </c>
      <c r="AG200" s="759" t="s">
        <v>2411</v>
      </c>
      <c r="AH200" s="759" t="s">
        <v>2445</v>
      </c>
      <c r="AI200" s="759" t="s">
        <v>2558</v>
      </c>
      <c r="AJ200" s="180"/>
    </row>
    <row r="201" spans="1:36" ht="135" customHeight="1" thickBot="1" x14ac:dyDescent="0.4">
      <c r="A201" s="301"/>
      <c r="B201" s="1195" t="s">
        <v>338</v>
      </c>
      <c r="C201" s="1195" t="s">
        <v>339</v>
      </c>
      <c r="D201" s="452" t="s">
        <v>297</v>
      </c>
      <c r="E201" s="352">
        <v>0.2</v>
      </c>
      <c r="F201" s="480">
        <v>96</v>
      </c>
      <c r="G201" s="481">
        <v>18</v>
      </c>
      <c r="H201" s="482">
        <v>40</v>
      </c>
      <c r="I201" s="483">
        <f>+G201/F201</f>
        <v>0.1875</v>
      </c>
      <c r="J201" s="486">
        <f t="shared" si="142"/>
        <v>0.41666666666666669</v>
      </c>
      <c r="K201" s="483">
        <f>+(G201/F201)*E201</f>
        <v>3.7500000000000006E-2</v>
      </c>
      <c r="L201" s="486">
        <f t="shared" si="145"/>
        <v>8.3333333333333343E-2</v>
      </c>
      <c r="M201" s="481">
        <v>8</v>
      </c>
      <c r="N201" s="542">
        <v>0</v>
      </c>
      <c r="O201" s="542">
        <v>6</v>
      </c>
      <c r="P201" s="542">
        <v>8</v>
      </c>
      <c r="Q201" s="542">
        <v>3</v>
      </c>
      <c r="R201" s="542">
        <v>3</v>
      </c>
      <c r="S201" s="482">
        <f t="shared" ref="S201:S202" si="146">+N201+O201+P201+Q201+R201</f>
        <v>20</v>
      </c>
      <c r="T201" s="482">
        <f t="shared" si="133"/>
        <v>28</v>
      </c>
      <c r="U201" s="535">
        <f>+(M201/G201)</f>
        <v>0.44444444444444442</v>
      </c>
      <c r="V201" s="520">
        <f t="shared" si="134"/>
        <v>0.5</v>
      </c>
      <c r="W201" s="535">
        <f>+U201*E201</f>
        <v>8.8888888888888892E-2</v>
      </c>
      <c r="X201" s="520">
        <f t="shared" si="137"/>
        <v>0.1</v>
      </c>
      <c r="Y201" s="560">
        <f>+M201/F201</f>
        <v>8.3333333333333329E-2</v>
      </c>
      <c r="Z201" s="561">
        <f t="shared" si="136"/>
        <v>0.29166666666666669</v>
      </c>
      <c r="AA201" s="560">
        <f>+Y201*E201</f>
        <v>1.6666666666666666E-2</v>
      </c>
      <c r="AB201" s="561">
        <f>+Z201*E201</f>
        <v>5.8333333333333341E-2</v>
      </c>
      <c r="AC201" s="208" t="s">
        <v>1850</v>
      </c>
      <c r="AD201" s="717" t="s">
        <v>1893</v>
      </c>
      <c r="AE201" s="717" t="s">
        <v>2272</v>
      </c>
      <c r="AF201" s="717" t="s">
        <v>2294</v>
      </c>
      <c r="AG201" s="759" t="s">
        <v>2411</v>
      </c>
      <c r="AH201" s="759" t="s">
        <v>2445</v>
      </c>
      <c r="AI201" s="759" t="s">
        <v>2558</v>
      </c>
      <c r="AJ201" s="180"/>
    </row>
    <row r="202" spans="1:36" ht="135" customHeight="1" thickBot="1" x14ac:dyDescent="0.4">
      <c r="A202" s="301"/>
      <c r="B202" s="1195" t="s">
        <v>340</v>
      </c>
      <c r="C202" s="1195" t="s">
        <v>341</v>
      </c>
      <c r="D202" s="452" t="s">
        <v>297</v>
      </c>
      <c r="E202" s="352">
        <v>0.5</v>
      </c>
      <c r="F202" s="480">
        <v>51000</v>
      </c>
      <c r="G202" s="481">
        <v>0</v>
      </c>
      <c r="H202" s="482">
        <v>22000</v>
      </c>
      <c r="I202" s="483"/>
      <c r="J202" s="486">
        <f t="shared" si="142"/>
        <v>0.43137254901960786</v>
      </c>
      <c r="K202" s="483"/>
      <c r="L202" s="486">
        <f t="shared" si="145"/>
        <v>0.21568627450980393</v>
      </c>
      <c r="M202" s="481"/>
      <c r="N202" s="542">
        <v>0</v>
      </c>
      <c r="O202" s="542">
        <v>0</v>
      </c>
      <c r="P202" s="542">
        <v>2800</v>
      </c>
      <c r="Q202" s="542">
        <v>0</v>
      </c>
      <c r="R202" s="542">
        <v>10600</v>
      </c>
      <c r="S202" s="482">
        <f t="shared" si="146"/>
        <v>13400</v>
      </c>
      <c r="T202" s="482">
        <f t="shared" si="133"/>
        <v>13400</v>
      </c>
      <c r="U202" s="535"/>
      <c r="V202" s="520">
        <f t="shared" si="134"/>
        <v>0.60909090909090913</v>
      </c>
      <c r="W202" s="535"/>
      <c r="X202" s="520">
        <f t="shared" si="137"/>
        <v>0.30454545454545456</v>
      </c>
      <c r="Y202" s="560"/>
      <c r="Z202" s="561">
        <f t="shared" si="136"/>
        <v>0.2627450980392157</v>
      </c>
      <c r="AA202" s="560"/>
      <c r="AB202" s="561">
        <f>+Z202*E202</f>
        <v>0.13137254901960785</v>
      </c>
      <c r="AC202" s="208" t="s">
        <v>1850</v>
      </c>
      <c r="AD202" s="718" t="s">
        <v>1938</v>
      </c>
      <c r="AE202" s="717" t="s">
        <v>2272</v>
      </c>
      <c r="AF202" s="717" t="s">
        <v>2294</v>
      </c>
      <c r="AG202" s="759" t="s">
        <v>2411</v>
      </c>
      <c r="AH202" s="759" t="s">
        <v>2445</v>
      </c>
      <c r="AI202" s="759" t="s">
        <v>2558</v>
      </c>
      <c r="AJ202" s="180"/>
    </row>
    <row r="203" spans="1:36" ht="135" customHeight="1" thickBot="1" x14ac:dyDescent="0.45">
      <c r="A203" s="301"/>
      <c r="B203" s="1300" t="s">
        <v>1626</v>
      </c>
      <c r="C203" s="1299"/>
      <c r="D203" s="451"/>
      <c r="E203" s="476">
        <v>0.1</v>
      </c>
      <c r="F203" s="480"/>
      <c r="G203" s="481"/>
      <c r="H203" s="482"/>
      <c r="I203" s="478">
        <f>+AVERAGE(I204:I205)</f>
        <v>0.24264705882352941</v>
      </c>
      <c r="J203" s="478">
        <f>+AVERAGE(J204:J205)</f>
        <v>0.30147058823529416</v>
      </c>
      <c r="K203" s="478">
        <f>+K204+K205</f>
        <v>0.24044117647058824</v>
      </c>
      <c r="L203" s="478">
        <f>+L204+L205</f>
        <v>0.31691176470588234</v>
      </c>
      <c r="M203" s="479"/>
      <c r="N203" s="485"/>
      <c r="O203" s="485"/>
      <c r="P203" s="485"/>
      <c r="Q203" s="485"/>
      <c r="R203" s="1200"/>
      <c r="S203" s="485"/>
      <c r="T203" s="485"/>
      <c r="U203" s="544">
        <f>+AVERAGE(U204:U205)</f>
        <v>1</v>
      </c>
      <c r="V203" s="544">
        <f>+AVERAGE(V204:V205)</f>
        <v>1</v>
      </c>
      <c r="W203" s="544">
        <f>+(W204+W205)*E203</f>
        <v>0.1</v>
      </c>
      <c r="X203" s="544">
        <f>+(X204+X205)*E203</f>
        <v>0.1</v>
      </c>
      <c r="Y203" s="499">
        <f>+AVERAGE(Y204:Y205)</f>
        <v>0.24264705882352941</v>
      </c>
      <c r="Z203" s="564">
        <f>+AVERAGE(Z204:Z205)</f>
        <v>0.57352941176470584</v>
      </c>
      <c r="AA203" s="499">
        <f>+(AA204+AA205)*E203</f>
        <v>2.4044117647058827E-2</v>
      </c>
      <c r="AB203" s="556">
        <f>+(AB204+AB205)</f>
        <v>0.59558823529411775</v>
      </c>
      <c r="AC203" s="201"/>
      <c r="AD203" s="450"/>
      <c r="AE203" s="450"/>
      <c r="AF203" s="450"/>
      <c r="AG203" s="450"/>
      <c r="AH203" s="450"/>
      <c r="AI203" s="225"/>
      <c r="AJ203" s="180"/>
    </row>
    <row r="204" spans="1:36" ht="135" customHeight="1" thickBot="1" x14ac:dyDescent="0.4">
      <c r="A204" s="301"/>
      <c r="B204" s="1195" t="s">
        <v>342</v>
      </c>
      <c r="C204" s="1195" t="s">
        <v>343</v>
      </c>
      <c r="D204" s="452" t="s">
        <v>297</v>
      </c>
      <c r="E204" s="483">
        <v>0.65</v>
      </c>
      <c r="F204" s="480">
        <v>17</v>
      </c>
      <c r="G204" s="481">
        <v>4</v>
      </c>
      <c r="H204" s="482">
        <v>6</v>
      </c>
      <c r="I204" s="535">
        <f>+G204/F204</f>
        <v>0.23529411764705882</v>
      </c>
      <c r="J204" s="520">
        <f t="shared" si="142"/>
        <v>0.35294117647058826</v>
      </c>
      <c r="K204" s="483">
        <f>+(G204/F204)*E204</f>
        <v>0.15294117647058825</v>
      </c>
      <c r="L204" s="486">
        <f>+(H204/F204)*E204</f>
        <v>0.22941176470588237</v>
      </c>
      <c r="M204" s="481">
        <v>4</v>
      </c>
      <c r="N204" s="542">
        <v>3</v>
      </c>
      <c r="O204" s="542">
        <v>4</v>
      </c>
      <c r="P204" s="542">
        <v>0</v>
      </c>
      <c r="Q204" s="542">
        <v>0</v>
      </c>
      <c r="R204" s="542">
        <v>0</v>
      </c>
      <c r="S204" s="482">
        <f>+N204+O204+P204+Q204+R204</f>
        <v>7</v>
      </c>
      <c r="T204" s="482">
        <f t="shared" si="133"/>
        <v>11</v>
      </c>
      <c r="U204" s="535">
        <f>+(M204/G204)</f>
        <v>1</v>
      </c>
      <c r="V204" s="520">
        <v>1</v>
      </c>
      <c r="W204" s="535">
        <f>+U204*E204</f>
        <v>0.65</v>
      </c>
      <c r="X204" s="520">
        <f t="shared" si="137"/>
        <v>0.65</v>
      </c>
      <c r="Y204" s="560">
        <f>+M204/F204</f>
        <v>0.23529411764705882</v>
      </c>
      <c r="Z204" s="567">
        <f t="shared" si="136"/>
        <v>0.6470588235294118</v>
      </c>
      <c r="AA204" s="560">
        <f>+Y204*E204</f>
        <v>0.15294117647058825</v>
      </c>
      <c r="AB204" s="561">
        <f>+Z204*E204</f>
        <v>0.42058823529411771</v>
      </c>
      <c r="AC204" s="208" t="s">
        <v>1850</v>
      </c>
      <c r="AD204" s="717" t="s">
        <v>1893</v>
      </c>
      <c r="AE204" s="717" t="s">
        <v>2272</v>
      </c>
      <c r="AF204" s="717" t="s">
        <v>2294</v>
      </c>
      <c r="AG204" s="759" t="s">
        <v>2411</v>
      </c>
      <c r="AH204" s="759" t="s">
        <v>2445</v>
      </c>
      <c r="AI204" s="759" t="s">
        <v>2558</v>
      </c>
      <c r="AJ204" s="180"/>
    </row>
    <row r="205" spans="1:36" ht="135" customHeight="1" thickBot="1" x14ac:dyDescent="0.4">
      <c r="A205" s="301"/>
      <c r="B205" s="1195" t="s">
        <v>344</v>
      </c>
      <c r="C205" s="1195" t="s">
        <v>345</v>
      </c>
      <c r="D205" s="452" t="s">
        <v>297</v>
      </c>
      <c r="E205" s="483">
        <v>0.35</v>
      </c>
      <c r="F205" s="480">
        <v>4</v>
      </c>
      <c r="G205" s="481">
        <v>1</v>
      </c>
      <c r="H205" s="482">
        <v>1</v>
      </c>
      <c r="I205" s="483">
        <f>+G205/F205</f>
        <v>0.25</v>
      </c>
      <c r="J205" s="486">
        <f t="shared" si="142"/>
        <v>0.25</v>
      </c>
      <c r="K205" s="483">
        <f>+(G205/F205)*E205</f>
        <v>8.7499999999999994E-2</v>
      </c>
      <c r="L205" s="486">
        <f t="shared" si="145"/>
        <v>8.7499999999999994E-2</v>
      </c>
      <c r="M205" s="481">
        <v>1</v>
      </c>
      <c r="N205" s="542">
        <v>0</v>
      </c>
      <c r="O205" s="542">
        <v>1</v>
      </c>
      <c r="P205" s="542">
        <v>0</v>
      </c>
      <c r="Q205" s="542">
        <v>0</v>
      </c>
      <c r="R205" s="542">
        <v>0</v>
      </c>
      <c r="S205" s="482">
        <f>+N205+O205+P205+Q205+R205</f>
        <v>1</v>
      </c>
      <c r="T205" s="482">
        <f t="shared" si="133"/>
        <v>2</v>
      </c>
      <c r="U205" s="535">
        <f>+(M205/G205)</f>
        <v>1</v>
      </c>
      <c r="V205" s="520">
        <f t="shared" si="134"/>
        <v>1</v>
      </c>
      <c r="W205" s="535">
        <f>+U205*E205</f>
        <v>0.35</v>
      </c>
      <c r="X205" s="520">
        <f t="shared" si="137"/>
        <v>0.35</v>
      </c>
      <c r="Y205" s="921">
        <f>+M205/F205</f>
        <v>0.25</v>
      </c>
      <c r="Z205" s="562">
        <f t="shared" si="136"/>
        <v>0.5</v>
      </c>
      <c r="AA205" s="560">
        <f>+Y205*E205</f>
        <v>8.7499999999999994E-2</v>
      </c>
      <c r="AB205" s="561">
        <f>+Z205*E205</f>
        <v>0.17499999999999999</v>
      </c>
      <c r="AC205" s="208" t="s">
        <v>1850</v>
      </c>
      <c r="AD205" s="717" t="s">
        <v>1893</v>
      </c>
      <c r="AE205" s="717" t="s">
        <v>2272</v>
      </c>
      <c r="AF205" s="717" t="s">
        <v>2294</v>
      </c>
      <c r="AG205" s="759" t="s">
        <v>2411</v>
      </c>
      <c r="AH205" s="759" t="s">
        <v>2445</v>
      </c>
      <c r="AI205" s="759" t="s">
        <v>2558</v>
      </c>
      <c r="AJ205" s="180"/>
    </row>
    <row r="206" spans="1:36" ht="135" customHeight="1" thickBot="1" x14ac:dyDescent="0.45">
      <c r="A206" s="301"/>
      <c r="B206" s="1300" t="s">
        <v>1628</v>
      </c>
      <c r="C206" s="1299"/>
      <c r="D206" s="451"/>
      <c r="E206" s="476">
        <v>0.05</v>
      </c>
      <c r="F206" s="480"/>
      <c r="G206" s="481"/>
      <c r="H206" s="482"/>
      <c r="I206" s="478">
        <f>+AVERAGE(I207:I208)</f>
        <v>0.20833333333333331</v>
      </c>
      <c r="J206" s="478">
        <f>+AVERAGE(J207:J208)</f>
        <v>0.2361111111111111</v>
      </c>
      <c r="K206" s="478">
        <f>+K207+K208</f>
        <v>0.2</v>
      </c>
      <c r="L206" s="478">
        <f>+L207+L208</f>
        <v>0.23888888888888887</v>
      </c>
      <c r="M206" s="479"/>
      <c r="N206" s="485"/>
      <c r="O206" s="485"/>
      <c r="P206" s="485"/>
      <c r="Q206" s="485"/>
      <c r="R206" s="1200"/>
      <c r="S206" s="485"/>
      <c r="T206" s="485"/>
      <c r="U206" s="544">
        <f>+AVERAGE(U207:U208)</f>
        <v>0.58611111111111103</v>
      </c>
      <c r="V206" s="544">
        <f>+AVERAGE(V207:V208)</f>
        <v>1</v>
      </c>
      <c r="W206" s="544">
        <f>+(W207+W208)*E206</f>
        <v>3.2944444444444443E-2</v>
      </c>
      <c r="X206" s="563">
        <f>+(X207+X208)*E206</f>
        <v>0.05</v>
      </c>
      <c r="Y206" s="564">
        <f>+AVERAGE(Y207:Y208)</f>
        <v>0.10694444444444444</v>
      </c>
      <c r="Z206" s="564">
        <f>+AVERAGE(Z207:Z208)</f>
        <v>0.58472222222222225</v>
      </c>
      <c r="AA206" s="499">
        <f>+(AA207+AA208)*E206</f>
        <v>5.8611111111111112E-3</v>
      </c>
      <c r="AB206" s="556">
        <f>+(AB207+AB208)</f>
        <v>0.55444444444444452</v>
      </c>
      <c r="AC206" s="201"/>
      <c r="AD206" s="450"/>
      <c r="AE206" s="450"/>
      <c r="AF206" s="450"/>
      <c r="AG206" s="450"/>
      <c r="AH206" s="450"/>
      <c r="AI206" s="225"/>
      <c r="AJ206" s="180"/>
    </row>
    <row r="207" spans="1:36" ht="135" customHeight="1" thickBot="1" x14ac:dyDescent="0.4">
      <c r="A207" s="301"/>
      <c r="B207" s="1195" t="s">
        <v>346</v>
      </c>
      <c r="C207" s="1195" t="s">
        <v>347</v>
      </c>
      <c r="D207" s="452" t="s">
        <v>297</v>
      </c>
      <c r="E207" s="352">
        <v>0.6</v>
      </c>
      <c r="F207" s="480">
        <v>120</v>
      </c>
      <c r="G207" s="481">
        <v>20</v>
      </c>
      <c r="H207" s="482">
        <v>30</v>
      </c>
      <c r="I207" s="483">
        <f>+G207/F207</f>
        <v>0.16666666666666666</v>
      </c>
      <c r="J207" s="486">
        <f t="shared" si="142"/>
        <v>0.25</v>
      </c>
      <c r="K207" s="483">
        <f>+(G207/F207)*E207</f>
        <v>9.9999999999999992E-2</v>
      </c>
      <c r="L207" s="486">
        <f t="shared" si="145"/>
        <v>0.15</v>
      </c>
      <c r="M207" s="1131">
        <v>19</v>
      </c>
      <c r="N207" s="542">
        <v>8</v>
      </c>
      <c r="O207" s="542">
        <v>10</v>
      </c>
      <c r="P207" s="542">
        <v>11</v>
      </c>
      <c r="Q207" s="542">
        <v>1</v>
      </c>
      <c r="R207" s="542">
        <v>3</v>
      </c>
      <c r="S207" s="482">
        <f>+N207+O207+P207+Q207+R207</f>
        <v>33</v>
      </c>
      <c r="T207" s="482">
        <f t="shared" si="133"/>
        <v>52</v>
      </c>
      <c r="U207" s="535">
        <f>+(M207/G207)</f>
        <v>0.95</v>
      </c>
      <c r="V207" s="520">
        <v>1</v>
      </c>
      <c r="W207" s="535">
        <f>+U207*E207</f>
        <v>0.56999999999999995</v>
      </c>
      <c r="X207" s="520">
        <f>+V207*E207</f>
        <v>0.6</v>
      </c>
      <c r="Y207" s="1019">
        <f>+M207/F207</f>
        <v>0.15833333333333333</v>
      </c>
      <c r="Z207" s="567">
        <f t="shared" si="136"/>
        <v>0.43333333333333335</v>
      </c>
      <c r="AA207" s="560">
        <f>+Y207*E207</f>
        <v>9.4999999999999987E-2</v>
      </c>
      <c r="AB207" s="561">
        <f>+Z207*E207</f>
        <v>0.26</v>
      </c>
      <c r="AC207" s="208" t="s">
        <v>1850</v>
      </c>
      <c r="AD207" s="717" t="s">
        <v>1893</v>
      </c>
      <c r="AE207" s="717" t="s">
        <v>2272</v>
      </c>
      <c r="AF207" s="717" t="s">
        <v>2294</v>
      </c>
      <c r="AG207" s="759" t="s">
        <v>2411</v>
      </c>
      <c r="AH207" s="676" t="s">
        <v>2474</v>
      </c>
      <c r="AI207" s="759" t="s">
        <v>2558</v>
      </c>
      <c r="AJ207" s="180"/>
    </row>
    <row r="208" spans="1:36" ht="135" customHeight="1" thickBot="1" x14ac:dyDescent="0.4">
      <c r="A208" s="301"/>
      <c r="B208" s="1195" t="s">
        <v>348</v>
      </c>
      <c r="C208" s="1195" t="s">
        <v>349</v>
      </c>
      <c r="D208" s="452" t="s">
        <v>297</v>
      </c>
      <c r="E208" s="352">
        <v>0.4</v>
      </c>
      <c r="F208" s="480">
        <v>72</v>
      </c>
      <c r="G208" s="481">
        <v>18</v>
      </c>
      <c r="H208" s="482">
        <v>16</v>
      </c>
      <c r="I208" s="483">
        <f>+G208/F208</f>
        <v>0.25</v>
      </c>
      <c r="J208" s="486">
        <f t="shared" si="142"/>
        <v>0.22222222222222221</v>
      </c>
      <c r="K208" s="483">
        <f>+(G208/F208)*E208</f>
        <v>0.1</v>
      </c>
      <c r="L208" s="486">
        <f t="shared" si="145"/>
        <v>8.8888888888888892E-2</v>
      </c>
      <c r="M208" s="1131">
        <v>4</v>
      </c>
      <c r="N208" s="542">
        <v>4</v>
      </c>
      <c r="O208" s="542">
        <v>9</v>
      </c>
      <c r="P208" s="542">
        <v>4</v>
      </c>
      <c r="Q208" s="542">
        <v>16</v>
      </c>
      <c r="R208" s="543"/>
      <c r="S208" s="482">
        <f>+N208+O208+P208+Q208+R208</f>
        <v>33</v>
      </c>
      <c r="T208" s="482">
        <f>+S208+M208+16</f>
        <v>53</v>
      </c>
      <c r="U208" s="535">
        <f>+(M208/G208)</f>
        <v>0.22222222222222221</v>
      </c>
      <c r="V208" s="520">
        <v>1</v>
      </c>
      <c r="W208" s="535">
        <f>+U208*E208</f>
        <v>8.8888888888888892E-2</v>
      </c>
      <c r="X208" s="520">
        <f t="shared" si="137"/>
        <v>0.4</v>
      </c>
      <c r="Y208" s="560">
        <f>+M208/F208</f>
        <v>5.5555555555555552E-2</v>
      </c>
      <c r="Z208" s="562">
        <f t="shared" si="136"/>
        <v>0.73611111111111116</v>
      </c>
      <c r="AA208" s="560">
        <f>+Y208*E208</f>
        <v>2.2222222222222223E-2</v>
      </c>
      <c r="AB208" s="561">
        <f>+Z208*E208</f>
        <v>0.29444444444444445</v>
      </c>
      <c r="AC208" s="208" t="s">
        <v>1850</v>
      </c>
      <c r="AD208" s="717" t="s">
        <v>1893</v>
      </c>
      <c r="AE208" s="717" t="s">
        <v>2272</v>
      </c>
      <c r="AF208" s="717" t="s">
        <v>2294</v>
      </c>
      <c r="AG208" s="759" t="s">
        <v>2411</v>
      </c>
      <c r="AH208" s="759" t="s">
        <v>2445</v>
      </c>
      <c r="AI208" s="759" t="s">
        <v>2558</v>
      </c>
      <c r="AJ208" s="180"/>
    </row>
    <row r="209" spans="1:36" ht="135" customHeight="1" thickBot="1" x14ac:dyDescent="0.45">
      <c r="A209" s="301"/>
      <c r="B209" s="1300" t="s">
        <v>1627</v>
      </c>
      <c r="C209" s="1299"/>
      <c r="D209" s="451"/>
      <c r="E209" s="476">
        <v>0.1</v>
      </c>
      <c r="F209" s="480"/>
      <c r="G209" s="481"/>
      <c r="H209" s="482"/>
      <c r="I209" s="478">
        <f>+AVERAGE(I210:I211)</f>
        <v>0.14262820512820512</v>
      </c>
      <c r="J209" s="478">
        <f>+AVERAGE(J210:J211)</f>
        <v>0.22275641025641027</v>
      </c>
      <c r="K209" s="478">
        <f>+K210+K211</f>
        <v>0.15576923076923077</v>
      </c>
      <c r="L209" s="478"/>
      <c r="M209" s="479"/>
      <c r="N209" s="485"/>
      <c r="O209" s="485"/>
      <c r="P209" s="485"/>
      <c r="Q209" s="485"/>
      <c r="R209" s="1200"/>
      <c r="S209" s="485"/>
      <c r="T209" s="485"/>
      <c r="U209" s="544">
        <f>+AVERAGE(U210:U211)</f>
        <v>1</v>
      </c>
      <c r="V209" s="544">
        <f>+AVERAGE(V210:V211)</f>
        <v>0.9642857142857143</v>
      </c>
      <c r="W209" s="544">
        <f>+(W210+W211)*E209</f>
        <v>0.1</v>
      </c>
      <c r="X209" s="544">
        <f>+(X210+X211)*F209</f>
        <v>0</v>
      </c>
      <c r="Y209" s="499">
        <f>+AVERAGE(Y210:Y211)</f>
        <v>0.24038461538461539</v>
      </c>
      <c r="Z209" s="564">
        <f>+AVERAGE(Z210:Z211)</f>
        <v>0.76041666666666674</v>
      </c>
      <c r="AA209" s="499">
        <f>+(AA210+AA211)*E209</f>
        <v>2.4230769230769233E-2</v>
      </c>
      <c r="AB209" s="556">
        <f>+(AB210+AB211)</f>
        <v>0.71250000000000002</v>
      </c>
      <c r="AC209" s="201"/>
      <c r="AD209" s="450"/>
      <c r="AE209" s="450"/>
      <c r="AF209" s="910"/>
      <c r="AG209" s="450"/>
      <c r="AH209" s="450"/>
      <c r="AI209" s="225"/>
      <c r="AJ209" s="180"/>
    </row>
    <row r="210" spans="1:36" ht="135" customHeight="1" thickBot="1" x14ac:dyDescent="0.4">
      <c r="A210" s="301"/>
      <c r="B210" s="1199" t="s">
        <v>350</v>
      </c>
      <c r="C210" s="1199" t="s">
        <v>351</v>
      </c>
      <c r="D210" s="456" t="s">
        <v>352</v>
      </c>
      <c r="E210" s="379">
        <v>0.4</v>
      </c>
      <c r="F210" s="480">
        <v>13</v>
      </c>
      <c r="G210" s="481">
        <v>1</v>
      </c>
      <c r="H210" s="482">
        <v>2</v>
      </c>
      <c r="I210" s="483">
        <f>+G210/F210</f>
        <v>7.6923076923076927E-2</v>
      </c>
      <c r="J210" s="486">
        <f t="shared" si="142"/>
        <v>0.15384615384615385</v>
      </c>
      <c r="K210" s="483">
        <f>+(G210/F210)*E210</f>
        <v>3.0769230769230771E-2</v>
      </c>
      <c r="L210" s="486"/>
      <c r="M210" s="481">
        <v>3</v>
      </c>
      <c r="N210" s="542">
        <v>0</v>
      </c>
      <c r="O210" s="542">
        <v>13</v>
      </c>
      <c r="P210" s="542">
        <v>0</v>
      </c>
      <c r="Q210" s="542">
        <v>0</v>
      </c>
      <c r="R210" s="542">
        <v>0</v>
      </c>
      <c r="S210" s="482">
        <f>+N210+O210+P210+Q210+R210</f>
        <v>13</v>
      </c>
      <c r="T210" s="482">
        <f t="shared" si="133"/>
        <v>16</v>
      </c>
      <c r="U210" s="535">
        <v>1</v>
      </c>
      <c r="V210" s="520">
        <v>1</v>
      </c>
      <c r="W210" s="535">
        <f>+U210*E210</f>
        <v>0.4</v>
      </c>
      <c r="X210" s="520"/>
      <c r="Y210" s="560">
        <f>+M210/F210</f>
        <v>0.23076923076923078</v>
      </c>
      <c r="Z210" s="567">
        <v>1</v>
      </c>
      <c r="AA210" s="560">
        <f>+Y210*E210</f>
        <v>9.2307692307692313E-2</v>
      </c>
      <c r="AB210" s="561">
        <f>+Z210*E210</f>
        <v>0.4</v>
      </c>
      <c r="AC210" s="208" t="s">
        <v>1850</v>
      </c>
      <c r="AD210" s="718" t="s">
        <v>1965</v>
      </c>
      <c r="AE210" s="984" t="s">
        <v>2272</v>
      </c>
      <c r="AF210" s="676" t="s">
        <v>2325</v>
      </c>
      <c r="AG210" s="676" t="s">
        <v>2399</v>
      </c>
      <c r="AH210" s="676" t="s">
        <v>1865</v>
      </c>
      <c r="AI210" s="225"/>
      <c r="AJ210" s="180"/>
    </row>
    <row r="211" spans="1:36" ht="135" customHeight="1" thickBot="1" x14ac:dyDescent="0.4">
      <c r="A211" s="301"/>
      <c r="B211" s="1204" t="s">
        <v>353</v>
      </c>
      <c r="C211" s="1204" t="s">
        <v>354</v>
      </c>
      <c r="D211" s="456" t="s">
        <v>352</v>
      </c>
      <c r="E211" s="379">
        <v>0.6</v>
      </c>
      <c r="F211" s="480">
        <v>48</v>
      </c>
      <c r="G211" s="481">
        <v>10</v>
      </c>
      <c r="H211" s="482">
        <v>14</v>
      </c>
      <c r="I211" s="483">
        <f>+G211/F211</f>
        <v>0.20833333333333334</v>
      </c>
      <c r="J211" s="486">
        <f t="shared" si="142"/>
        <v>0.29166666666666669</v>
      </c>
      <c r="K211" s="483">
        <f>+(G211/F211)*E211</f>
        <v>0.125</v>
      </c>
      <c r="L211" s="486"/>
      <c r="M211" s="481">
        <v>12</v>
      </c>
      <c r="N211" s="542">
        <v>0</v>
      </c>
      <c r="O211" s="542">
        <v>0</v>
      </c>
      <c r="P211" s="542">
        <v>9</v>
      </c>
      <c r="Q211" s="542">
        <v>0</v>
      </c>
      <c r="R211" s="542">
        <v>4</v>
      </c>
      <c r="S211" s="482">
        <f>+N211+O211+P211+Q211+R211</f>
        <v>13</v>
      </c>
      <c r="T211" s="482">
        <f t="shared" si="133"/>
        <v>25</v>
      </c>
      <c r="U211" s="535">
        <v>1</v>
      </c>
      <c r="V211" s="520">
        <f t="shared" si="134"/>
        <v>0.9285714285714286</v>
      </c>
      <c r="W211" s="535">
        <f>+U211*E211</f>
        <v>0.6</v>
      </c>
      <c r="X211" s="520"/>
      <c r="Y211" s="560">
        <f>+M211/F211</f>
        <v>0.25</v>
      </c>
      <c r="Z211" s="1279">
        <f t="shared" si="136"/>
        <v>0.52083333333333337</v>
      </c>
      <c r="AA211" s="560">
        <f>+Y211*E211</f>
        <v>0.15</v>
      </c>
      <c r="AB211" s="1279">
        <f>+Z211*E211</f>
        <v>0.3125</v>
      </c>
      <c r="AC211" s="208" t="s">
        <v>1850</v>
      </c>
      <c r="AD211" s="718" t="s">
        <v>1965</v>
      </c>
      <c r="AE211" s="717" t="s">
        <v>2272</v>
      </c>
      <c r="AF211" s="676" t="s">
        <v>2325</v>
      </c>
      <c r="AG211" s="759" t="s">
        <v>2400</v>
      </c>
      <c r="AH211" s="759" t="s">
        <v>2445</v>
      </c>
      <c r="AI211" s="225"/>
      <c r="AJ211" s="180"/>
    </row>
    <row r="212" spans="1:36" ht="21" customHeight="1" thickBot="1" x14ac:dyDescent="0.45">
      <c r="A212" s="180"/>
      <c r="B212" s="341"/>
      <c r="C212" s="341"/>
      <c r="D212" s="180"/>
      <c r="E212" s="536"/>
      <c r="F212" s="536"/>
      <c r="G212" s="341"/>
      <c r="H212" s="341"/>
      <c r="I212" s="341"/>
      <c r="J212" s="341"/>
      <c r="K212" s="341"/>
      <c r="L212" s="341"/>
      <c r="M212" s="341"/>
      <c r="N212" s="341"/>
      <c r="O212" s="341"/>
      <c r="P212" s="341"/>
      <c r="Q212" s="341"/>
      <c r="R212" s="341"/>
      <c r="S212" s="341"/>
      <c r="T212" s="341"/>
      <c r="U212" s="341"/>
      <c r="V212" s="341"/>
      <c r="W212" s="341"/>
      <c r="X212" s="341"/>
      <c r="Y212" s="341"/>
      <c r="Z212" s="343"/>
      <c r="AA212" s="341"/>
      <c r="AB212" s="343"/>
      <c r="AC212" s="180"/>
      <c r="AD212" s="180"/>
      <c r="AE212" s="180"/>
      <c r="AF212" s="180"/>
      <c r="AG212" s="180"/>
      <c r="AH212" s="180"/>
      <c r="AI212" s="180"/>
      <c r="AJ212" s="180"/>
    </row>
    <row r="213" spans="1:36" ht="21" customHeight="1" thickBot="1" x14ac:dyDescent="0.45">
      <c r="A213" s="180"/>
      <c r="B213" s="341"/>
      <c r="C213" s="341"/>
      <c r="D213" s="180"/>
      <c r="E213" s="536"/>
      <c r="F213" s="536"/>
      <c r="G213" s="341"/>
      <c r="H213" s="341"/>
      <c r="I213" s="341"/>
      <c r="J213" s="341"/>
      <c r="K213" s="341"/>
      <c r="L213" s="341"/>
      <c r="M213" s="341"/>
      <c r="N213" s="341"/>
      <c r="O213" s="341"/>
      <c r="P213" s="341"/>
      <c r="Q213" s="341"/>
      <c r="R213" s="341"/>
      <c r="S213" s="341"/>
      <c r="T213" s="341"/>
      <c r="U213" s="341"/>
      <c r="V213" s="341"/>
      <c r="W213" s="341"/>
      <c r="X213" s="341"/>
      <c r="Y213" s="341"/>
      <c r="Z213" s="341"/>
      <c r="AA213" s="341"/>
      <c r="AB213" s="341"/>
      <c r="AC213" s="180"/>
      <c r="AD213" s="180"/>
      <c r="AE213" s="180"/>
      <c r="AF213" s="180"/>
      <c r="AG213" s="180"/>
      <c r="AH213" s="180"/>
      <c r="AI213" s="180"/>
      <c r="AJ213" s="180"/>
    </row>
    <row r="214" spans="1:36" ht="21" customHeight="1" thickBot="1" x14ac:dyDescent="0.45">
      <c r="A214" s="180"/>
      <c r="B214" s="460"/>
      <c r="C214" s="341"/>
      <c r="D214" s="180"/>
      <c r="E214" s="536"/>
      <c r="F214" s="536"/>
      <c r="G214" s="341"/>
      <c r="H214" s="341"/>
      <c r="I214" s="341"/>
      <c r="J214" s="341"/>
      <c r="K214" s="341"/>
      <c r="L214" s="341"/>
      <c r="M214" s="341"/>
      <c r="N214" s="341"/>
      <c r="O214" s="341"/>
      <c r="P214" s="341"/>
      <c r="Q214" s="341"/>
      <c r="R214" s="341"/>
      <c r="S214" s="341"/>
      <c r="T214" s="341"/>
      <c r="U214" s="341"/>
      <c r="V214" s="341"/>
      <c r="W214" s="341"/>
      <c r="X214" s="341"/>
      <c r="Y214" s="341"/>
      <c r="Z214" s="341"/>
      <c r="AA214" s="341"/>
      <c r="AB214" s="341"/>
      <c r="AC214" s="180"/>
      <c r="AD214" s="180"/>
      <c r="AE214" s="180"/>
      <c r="AF214" s="180"/>
      <c r="AG214" s="180"/>
      <c r="AH214" s="180"/>
      <c r="AI214" s="180"/>
      <c r="AJ214" s="180"/>
    </row>
    <row r="215" spans="1:36" ht="21" customHeight="1" thickBot="1" x14ac:dyDescent="0.45">
      <c r="A215" s="180"/>
      <c r="B215" s="341"/>
      <c r="C215" s="341"/>
      <c r="D215" s="180"/>
      <c r="E215" s="536"/>
      <c r="F215" s="536"/>
      <c r="G215" s="341"/>
      <c r="H215" s="341"/>
      <c r="I215" s="341"/>
      <c r="J215" s="341"/>
      <c r="K215" s="341"/>
      <c r="L215" s="341"/>
      <c r="M215" s="341"/>
      <c r="N215" s="341"/>
      <c r="O215" s="341"/>
      <c r="P215" s="341"/>
      <c r="Q215" s="341"/>
      <c r="R215" s="341"/>
      <c r="S215" s="341"/>
      <c r="T215" s="341"/>
      <c r="U215" s="341"/>
      <c r="V215" s="341"/>
      <c r="W215" s="341"/>
      <c r="X215" s="341"/>
      <c r="Y215" s="341"/>
      <c r="Z215" s="341"/>
      <c r="AA215" s="341"/>
      <c r="AB215" s="341"/>
      <c r="AC215" s="180"/>
      <c r="AD215" s="180"/>
      <c r="AE215" s="180"/>
      <c r="AF215" s="180"/>
      <c r="AG215" s="180"/>
      <c r="AH215" s="180"/>
      <c r="AI215" s="180"/>
      <c r="AJ215" s="180"/>
    </row>
    <row r="216" spans="1:36" ht="21" customHeight="1" thickBot="1" x14ac:dyDescent="0.45">
      <c r="A216" s="180"/>
      <c r="B216" s="341"/>
      <c r="C216" s="341"/>
      <c r="D216" s="180"/>
      <c r="E216" s="536"/>
      <c r="F216" s="536"/>
      <c r="G216" s="341"/>
      <c r="H216" s="341"/>
      <c r="I216" s="341"/>
      <c r="J216" s="341"/>
      <c r="K216" s="341"/>
      <c r="L216" s="341"/>
      <c r="M216" s="341"/>
      <c r="N216" s="341"/>
      <c r="O216" s="341"/>
      <c r="P216" s="341"/>
      <c r="Q216" s="341"/>
      <c r="R216" s="341"/>
      <c r="S216" s="341"/>
      <c r="T216" s="341"/>
      <c r="U216" s="341"/>
      <c r="V216" s="341"/>
      <c r="W216" s="341"/>
      <c r="X216" s="341"/>
      <c r="Y216" s="341"/>
      <c r="Z216" s="341"/>
      <c r="AA216" s="341"/>
      <c r="AB216" s="341"/>
      <c r="AC216" s="180"/>
      <c r="AD216" s="180"/>
      <c r="AE216" s="180"/>
      <c r="AF216" s="180"/>
      <c r="AG216" s="180"/>
      <c r="AH216" s="180"/>
      <c r="AI216" s="180"/>
      <c r="AJ216" s="180"/>
    </row>
    <row r="217" spans="1:36" ht="21" customHeight="1" thickBot="1" x14ac:dyDescent="0.45">
      <c r="A217" s="180"/>
      <c r="B217" s="341"/>
      <c r="C217" s="341"/>
      <c r="D217" s="180"/>
      <c r="E217" s="536"/>
      <c r="F217" s="536"/>
      <c r="G217" s="341"/>
      <c r="H217" s="341"/>
      <c r="I217" s="341"/>
      <c r="J217" s="341"/>
      <c r="K217" s="341"/>
      <c r="L217" s="341"/>
      <c r="M217" s="341"/>
      <c r="N217" s="341"/>
      <c r="O217" s="341"/>
      <c r="P217" s="341"/>
      <c r="Q217" s="341"/>
      <c r="R217" s="341"/>
      <c r="S217" s="341"/>
      <c r="T217" s="341"/>
      <c r="U217" s="341"/>
      <c r="V217" s="341"/>
      <c r="W217" s="341"/>
      <c r="X217" s="341"/>
      <c r="Y217" s="341"/>
      <c r="Z217" s="341"/>
      <c r="AA217" s="341"/>
      <c r="AB217" s="341"/>
      <c r="AC217" s="180"/>
      <c r="AD217" s="180"/>
      <c r="AE217" s="180"/>
      <c r="AF217" s="180"/>
      <c r="AG217" s="180"/>
      <c r="AH217" s="180"/>
      <c r="AI217" s="180"/>
      <c r="AJ217" s="180"/>
    </row>
    <row r="218" spans="1:36" ht="21" customHeight="1" thickBot="1" x14ac:dyDescent="0.45">
      <c r="A218" s="180"/>
      <c r="B218" s="341"/>
      <c r="C218" s="341"/>
      <c r="D218" s="180"/>
      <c r="E218" s="536"/>
      <c r="F218" s="536"/>
      <c r="G218" s="341"/>
      <c r="H218" s="341"/>
      <c r="I218" s="341"/>
      <c r="J218" s="341"/>
      <c r="K218" s="341"/>
      <c r="L218" s="341"/>
      <c r="M218" s="341"/>
      <c r="N218" s="341"/>
      <c r="O218" s="341"/>
      <c r="P218" s="341"/>
      <c r="Q218" s="341"/>
      <c r="R218" s="341"/>
      <c r="S218" s="341"/>
      <c r="T218" s="341"/>
      <c r="U218" s="341"/>
      <c r="V218" s="341"/>
      <c r="W218" s="341"/>
      <c r="X218" s="341"/>
      <c r="Y218" s="341"/>
      <c r="Z218" s="341"/>
      <c r="AA218" s="341"/>
      <c r="AB218" s="341"/>
      <c r="AC218" s="180"/>
      <c r="AD218" s="180"/>
      <c r="AE218" s="180"/>
      <c r="AF218" s="180"/>
      <c r="AG218" s="180"/>
      <c r="AH218" s="180"/>
      <c r="AI218" s="180"/>
      <c r="AJ218" s="180"/>
    </row>
    <row r="219" spans="1:36" ht="21" customHeight="1" thickBot="1" x14ac:dyDescent="0.45">
      <c r="A219" s="180"/>
      <c r="B219" s="341"/>
      <c r="C219" s="341"/>
      <c r="D219" s="180"/>
      <c r="E219" s="536"/>
      <c r="F219" s="536"/>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180"/>
      <c r="AD219" s="180"/>
      <c r="AE219" s="180"/>
      <c r="AF219" s="180"/>
      <c r="AG219" s="180"/>
      <c r="AH219" s="180"/>
      <c r="AI219" s="180"/>
      <c r="AJ219" s="180"/>
    </row>
    <row r="220" spans="1:36" ht="21" customHeight="1" thickBot="1" x14ac:dyDescent="0.45">
      <c r="A220" s="180"/>
      <c r="B220" s="341"/>
      <c r="C220" s="341"/>
      <c r="D220" s="180"/>
      <c r="E220" s="536"/>
      <c r="F220" s="536"/>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180"/>
      <c r="AD220" s="180"/>
      <c r="AE220" s="180"/>
      <c r="AF220" s="180"/>
      <c r="AG220" s="180"/>
      <c r="AH220" s="180"/>
      <c r="AI220" s="180"/>
      <c r="AJ220" s="180"/>
    </row>
    <row r="221" spans="1:36" ht="21" customHeight="1" thickBot="1" x14ac:dyDescent="0.45">
      <c r="A221" s="180"/>
      <c r="B221" s="341"/>
      <c r="C221" s="341"/>
      <c r="D221" s="180"/>
      <c r="E221" s="536"/>
      <c r="F221" s="536"/>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180"/>
      <c r="AD221" s="180"/>
      <c r="AE221" s="180"/>
      <c r="AF221" s="180"/>
      <c r="AG221" s="180"/>
      <c r="AH221" s="180"/>
      <c r="AI221" s="180"/>
      <c r="AJ221" s="180"/>
    </row>
    <row r="222" spans="1:36" ht="21" customHeight="1" thickBot="1" x14ac:dyDescent="0.45">
      <c r="A222" s="180"/>
      <c r="B222" s="341"/>
      <c r="C222" s="341"/>
      <c r="D222" s="180"/>
      <c r="E222" s="536"/>
      <c r="F222" s="536"/>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180"/>
      <c r="AD222" s="180"/>
      <c r="AE222" s="180"/>
      <c r="AF222" s="180"/>
      <c r="AG222" s="180"/>
      <c r="AH222" s="180"/>
      <c r="AI222" s="180"/>
      <c r="AJ222" s="180"/>
    </row>
    <row r="223" spans="1:36" ht="21" customHeight="1" thickBot="1" x14ac:dyDescent="0.45">
      <c r="A223" s="180"/>
      <c r="B223" s="341"/>
      <c r="C223" s="341"/>
      <c r="D223" s="180"/>
      <c r="E223" s="536"/>
      <c r="F223" s="536"/>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180"/>
      <c r="AD223" s="180"/>
      <c r="AE223" s="180"/>
      <c r="AF223" s="180"/>
      <c r="AG223" s="180"/>
      <c r="AH223" s="180"/>
      <c r="AI223" s="180"/>
      <c r="AJ223" s="180"/>
    </row>
    <row r="224" spans="1:36" ht="21" customHeight="1" thickBot="1" x14ac:dyDescent="0.45">
      <c r="A224" s="180"/>
      <c r="B224" s="341"/>
      <c r="C224" s="341"/>
      <c r="D224" s="180"/>
      <c r="E224" s="536"/>
      <c r="F224" s="536"/>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180"/>
      <c r="AD224" s="180"/>
      <c r="AE224" s="180"/>
      <c r="AF224" s="180"/>
      <c r="AG224" s="180"/>
      <c r="AH224" s="180"/>
      <c r="AI224" s="180"/>
      <c r="AJ224" s="180"/>
    </row>
    <row r="225" spans="1:36" ht="21" customHeight="1" thickBot="1" x14ac:dyDescent="0.45">
      <c r="A225" s="180"/>
      <c r="B225" s="341"/>
      <c r="C225" s="341"/>
      <c r="D225" s="180"/>
      <c r="E225" s="536"/>
      <c r="F225" s="536"/>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180"/>
      <c r="AD225" s="180"/>
      <c r="AE225" s="180"/>
      <c r="AF225" s="180"/>
      <c r="AG225" s="180"/>
      <c r="AH225" s="180"/>
      <c r="AI225" s="180"/>
      <c r="AJ225" s="180"/>
    </row>
    <row r="226" spans="1:36" ht="21" customHeight="1" thickBot="1" x14ac:dyDescent="0.45">
      <c r="A226" s="180"/>
      <c r="B226" s="341"/>
      <c r="C226" s="341"/>
      <c r="D226" s="180"/>
      <c r="E226" s="536"/>
      <c r="F226" s="536"/>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180"/>
      <c r="AD226" s="180"/>
      <c r="AE226" s="180"/>
      <c r="AF226" s="180"/>
      <c r="AG226" s="180"/>
      <c r="AH226" s="180"/>
      <c r="AI226" s="180"/>
      <c r="AJ226" s="180"/>
    </row>
    <row r="227" spans="1:36" ht="21" customHeight="1" thickBot="1" x14ac:dyDescent="0.45">
      <c r="A227" s="180"/>
      <c r="B227" s="341"/>
      <c r="C227" s="341"/>
      <c r="D227" s="180"/>
      <c r="E227" s="536"/>
      <c r="F227" s="536"/>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180"/>
      <c r="AD227" s="180"/>
      <c r="AE227" s="180"/>
      <c r="AF227" s="180"/>
      <c r="AG227" s="180"/>
      <c r="AH227" s="180"/>
      <c r="AI227" s="180"/>
      <c r="AJ227" s="180"/>
    </row>
    <row r="228" spans="1:36" ht="21" customHeight="1" thickBot="1" x14ac:dyDescent="0.45">
      <c r="A228" s="180"/>
      <c r="B228" s="341"/>
      <c r="C228" s="341"/>
      <c r="D228" s="180"/>
      <c r="E228" s="536"/>
      <c r="F228" s="536"/>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180"/>
      <c r="AD228" s="180"/>
      <c r="AE228" s="180"/>
      <c r="AF228" s="180"/>
      <c r="AG228" s="180"/>
      <c r="AH228" s="180"/>
      <c r="AI228" s="180"/>
      <c r="AJ228" s="180"/>
    </row>
    <row r="229" spans="1:36" ht="21" customHeight="1" thickBot="1" x14ac:dyDescent="0.45">
      <c r="A229" s="180"/>
      <c r="B229" s="341"/>
      <c r="C229" s="341"/>
      <c r="D229" s="180"/>
      <c r="E229" s="536"/>
      <c r="F229" s="536"/>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180"/>
      <c r="AD229" s="180"/>
      <c r="AE229" s="180"/>
      <c r="AF229" s="180"/>
      <c r="AG229" s="180"/>
      <c r="AH229" s="180"/>
      <c r="AI229" s="180"/>
      <c r="AJ229" s="180"/>
    </row>
    <row r="230" spans="1:36" ht="21" customHeight="1" thickBot="1" x14ac:dyDescent="0.45">
      <c r="A230" s="180"/>
      <c r="B230" s="341"/>
      <c r="C230" s="341"/>
      <c r="D230" s="180"/>
      <c r="E230" s="536"/>
      <c r="F230" s="536"/>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180"/>
      <c r="AD230" s="180"/>
      <c r="AE230" s="180"/>
      <c r="AF230" s="180"/>
      <c r="AG230" s="180"/>
      <c r="AH230" s="180"/>
      <c r="AI230" s="180"/>
      <c r="AJ230" s="180"/>
    </row>
    <row r="231" spans="1:36" ht="21" customHeight="1" thickBot="1" x14ac:dyDescent="0.45">
      <c r="A231" s="180"/>
      <c r="B231" s="341"/>
      <c r="C231" s="341"/>
      <c r="D231" s="180"/>
      <c r="E231" s="536"/>
      <c r="F231" s="536"/>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180"/>
      <c r="AD231" s="180"/>
      <c r="AE231" s="180"/>
      <c r="AF231" s="180"/>
      <c r="AG231" s="180"/>
      <c r="AH231" s="180"/>
      <c r="AI231" s="180"/>
      <c r="AJ231" s="180"/>
    </row>
    <row r="232" spans="1:36" ht="21" customHeight="1" thickBot="1" x14ac:dyDescent="0.45">
      <c r="A232" s="180"/>
      <c r="B232" s="341"/>
      <c r="C232" s="341"/>
      <c r="D232" s="180"/>
      <c r="E232" s="536"/>
      <c r="F232" s="536"/>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180"/>
      <c r="AD232" s="180"/>
      <c r="AE232" s="180"/>
      <c r="AF232" s="180"/>
      <c r="AG232" s="180"/>
      <c r="AH232" s="180"/>
      <c r="AI232" s="180"/>
      <c r="AJ232" s="180"/>
    </row>
    <row r="233" spans="1:36" ht="21" customHeight="1" thickBot="1" x14ac:dyDescent="0.45">
      <c r="A233" s="180"/>
      <c r="B233" s="341"/>
      <c r="C233" s="341"/>
      <c r="D233" s="180"/>
      <c r="E233" s="536"/>
      <c r="F233" s="536"/>
      <c r="G233" s="341"/>
      <c r="H233" s="341"/>
      <c r="I233" s="341"/>
      <c r="J233" s="341"/>
      <c r="K233" s="341"/>
      <c r="L233" s="341"/>
      <c r="M233" s="341"/>
      <c r="N233" s="341"/>
      <c r="O233" s="341"/>
      <c r="P233" s="341"/>
      <c r="Q233" s="341"/>
      <c r="R233" s="341"/>
      <c r="S233" s="341"/>
      <c r="T233" s="341"/>
      <c r="U233" s="341"/>
      <c r="V233" s="341"/>
      <c r="W233" s="341"/>
      <c r="X233" s="341"/>
      <c r="Y233" s="341"/>
      <c r="Z233" s="341"/>
      <c r="AA233" s="341"/>
      <c r="AB233" s="341"/>
      <c r="AC233" s="180"/>
      <c r="AD233" s="180"/>
      <c r="AE233" s="180"/>
      <c r="AF233" s="180"/>
      <c r="AG233" s="180"/>
      <c r="AH233" s="180"/>
      <c r="AI233" s="180"/>
      <c r="AJ233" s="180"/>
    </row>
    <row r="234" spans="1:36" ht="21" customHeight="1" thickBot="1" x14ac:dyDescent="0.45">
      <c r="A234" s="180"/>
      <c r="B234" s="341"/>
      <c r="C234" s="341"/>
      <c r="D234" s="180"/>
      <c r="E234" s="536"/>
      <c r="F234" s="536"/>
      <c r="G234" s="341"/>
      <c r="H234" s="341"/>
      <c r="I234" s="341"/>
      <c r="J234" s="341"/>
      <c r="K234" s="341"/>
      <c r="L234" s="341"/>
      <c r="M234" s="341"/>
      <c r="N234" s="341"/>
      <c r="O234" s="341"/>
      <c r="P234" s="341"/>
      <c r="Q234" s="341"/>
      <c r="R234" s="341"/>
      <c r="S234" s="341"/>
      <c r="T234" s="341"/>
      <c r="U234" s="341"/>
      <c r="V234" s="341"/>
      <c r="W234" s="341"/>
      <c r="X234" s="341"/>
      <c r="Y234" s="341"/>
      <c r="Z234" s="341"/>
      <c r="AA234" s="341"/>
      <c r="AB234" s="341"/>
      <c r="AC234" s="180"/>
      <c r="AD234" s="180"/>
      <c r="AE234" s="180"/>
      <c r="AF234" s="180"/>
      <c r="AG234" s="180"/>
      <c r="AH234" s="180"/>
      <c r="AI234" s="180"/>
      <c r="AJ234" s="180"/>
    </row>
    <row r="235" spans="1:36" ht="21" customHeight="1" thickBot="1" x14ac:dyDescent="0.45">
      <c r="A235" s="180"/>
      <c r="B235" s="341"/>
      <c r="C235" s="341"/>
      <c r="D235" s="180"/>
      <c r="E235" s="536"/>
      <c r="F235" s="536"/>
      <c r="G235" s="341"/>
      <c r="H235" s="341"/>
      <c r="I235" s="341"/>
      <c r="J235" s="341"/>
      <c r="K235" s="341"/>
      <c r="L235" s="341"/>
      <c r="M235" s="341"/>
      <c r="N235" s="341"/>
      <c r="O235" s="341"/>
      <c r="P235" s="341"/>
      <c r="Q235" s="341"/>
      <c r="R235" s="341"/>
      <c r="S235" s="341"/>
      <c r="T235" s="341"/>
      <c r="U235" s="341"/>
      <c r="V235" s="341"/>
      <c r="W235" s="341"/>
      <c r="X235" s="341"/>
      <c r="Y235" s="341"/>
      <c r="Z235" s="341"/>
      <c r="AA235" s="341"/>
      <c r="AB235" s="341"/>
      <c r="AC235" s="180"/>
      <c r="AD235" s="180"/>
      <c r="AE235" s="180"/>
      <c r="AF235" s="180"/>
      <c r="AG235" s="180"/>
      <c r="AH235" s="180"/>
      <c r="AI235" s="180"/>
      <c r="AJ235" s="180"/>
    </row>
    <row r="236" spans="1:36" ht="21" customHeight="1" thickBot="1" x14ac:dyDescent="0.45">
      <c r="A236" s="180"/>
      <c r="B236" s="341"/>
      <c r="C236" s="341"/>
      <c r="D236" s="180"/>
      <c r="E236" s="536"/>
      <c r="F236" s="536"/>
      <c r="G236" s="341"/>
      <c r="H236" s="341"/>
      <c r="I236" s="341"/>
      <c r="J236" s="341"/>
      <c r="K236" s="341"/>
      <c r="L236" s="341"/>
      <c r="M236" s="341"/>
      <c r="N236" s="341"/>
      <c r="O236" s="341"/>
      <c r="P236" s="341"/>
      <c r="Q236" s="341"/>
      <c r="R236" s="341"/>
      <c r="S236" s="341"/>
      <c r="T236" s="341"/>
      <c r="U236" s="341"/>
      <c r="V236" s="341"/>
      <c r="W236" s="341"/>
      <c r="X236" s="341"/>
      <c r="Y236" s="341"/>
      <c r="Z236" s="341"/>
      <c r="AA236" s="341"/>
      <c r="AB236" s="341"/>
      <c r="AC236" s="180"/>
      <c r="AD236" s="180"/>
      <c r="AE236" s="180"/>
      <c r="AF236" s="180"/>
      <c r="AG236" s="180"/>
      <c r="AH236" s="180"/>
      <c r="AI236" s="180"/>
      <c r="AJ236" s="180"/>
    </row>
    <row r="237" spans="1:36" ht="21" customHeight="1" thickBot="1" x14ac:dyDescent="0.45">
      <c r="A237" s="180"/>
      <c r="B237" s="341"/>
      <c r="C237" s="341"/>
      <c r="D237" s="180"/>
      <c r="E237" s="536"/>
      <c r="F237" s="536"/>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180"/>
      <c r="AD237" s="180"/>
      <c r="AE237" s="180"/>
      <c r="AF237" s="180"/>
      <c r="AG237" s="180"/>
      <c r="AH237" s="180"/>
      <c r="AI237" s="180"/>
      <c r="AJ237" s="180"/>
    </row>
    <row r="238" spans="1:36" ht="21" customHeight="1" thickBot="1" x14ac:dyDescent="0.45">
      <c r="A238" s="180"/>
      <c r="B238" s="341"/>
      <c r="C238" s="341"/>
      <c r="D238" s="180"/>
      <c r="E238" s="536"/>
      <c r="F238" s="536"/>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180"/>
      <c r="AD238" s="180"/>
      <c r="AE238" s="180"/>
      <c r="AF238" s="180"/>
      <c r="AG238" s="180"/>
      <c r="AH238" s="180"/>
      <c r="AI238" s="180"/>
      <c r="AJ238" s="180"/>
    </row>
    <row r="239" spans="1:36" ht="21" customHeight="1" thickBot="1" x14ac:dyDescent="0.45">
      <c r="A239" s="180"/>
      <c r="B239" s="341"/>
      <c r="C239" s="341"/>
      <c r="D239" s="180"/>
      <c r="E239" s="536"/>
      <c r="F239" s="536"/>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180"/>
      <c r="AD239" s="180"/>
      <c r="AE239" s="180"/>
      <c r="AF239" s="180"/>
      <c r="AG239" s="180"/>
      <c r="AH239" s="180"/>
      <c r="AI239" s="180"/>
      <c r="AJ239" s="180"/>
    </row>
    <row r="240" spans="1:36" ht="21" customHeight="1" thickBot="1" x14ac:dyDescent="0.45">
      <c r="A240" s="180"/>
      <c r="B240" s="341"/>
      <c r="C240" s="341"/>
      <c r="D240" s="180"/>
      <c r="E240" s="536"/>
      <c r="F240" s="536"/>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180"/>
      <c r="AD240" s="180"/>
      <c r="AE240" s="180"/>
      <c r="AF240" s="180"/>
      <c r="AG240" s="180"/>
      <c r="AH240" s="180"/>
      <c r="AI240" s="180"/>
      <c r="AJ240" s="180"/>
    </row>
    <row r="241" spans="1:36" ht="21" customHeight="1" thickBot="1" x14ac:dyDescent="0.45">
      <c r="A241" s="180"/>
      <c r="B241" s="341"/>
      <c r="C241" s="341"/>
      <c r="D241" s="180"/>
      <c r="E241" s="536"/>
      <c r="F241" s="536"/>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180"/>
      <c r="AD241" s="180"/>
      <c r="AE241" s="180"/>
      <c r="AF241" s="180"/>
      <c r="AG241" s="180"/>
      <c r="AH241" s="180"/>
      <c r="AI241" s="180"/>
      <c r="AJ241" s="180"/>
    </row>
    <row r="242" spans="1:36" ht="21" customHeight="1" thickBot="1" x14ac:dyDescent="0.45">
      <c r="A242" s="180"/>
      <c r="B242" s="341"/>
      <c r="C242" s="341"/>
      <c r="D242" s="180"/>
      <c r="E242" s="536"/>
      <c r="F242" s="536"/>
      <c r="G242" s="341"/>
      <c r="H242" s="341"/>
      <c r="I242" s="341"/>
      <c r="J242" s="341"/>
      <c r="K242" s="341"/>
      <c r="L242" s="341"/>
      <c r="M242" s="341"/>
      <c r="N242" s="341"/>
      <c r="O242" s="341"/>
      <c r="P242" s="341"/>
      <c r="Q242" s="341"/>
      <c r="R242" s="341"/>
      <c r="S242" s="341"/>
      <c r="T242" s="341"/>
      <c r="U242" s="341"/>
      <c r="V242" s="341"/>
      <c r="W242" s="341"/>
      <c r="X242" s="341"/>
      <c r="Y242" s="341"/>
      <c r="Z242" s="341"/>
      <c r="AA242" s="341"/>
      <c r="AB242" s="341"/>
      <c r="AC242" s="180"/>
      <c r="AD242" s="180"/>
      <c r="AE242" s="180"/>
      <c r="AF242" s="180"/>
      <c r="AG242" s="180"/>
      <c r="AH242" s="180"/>
      <c r="AI242" s="180"/>
      <c r="AJ242" s="180"/>
    </row>
    <row r="243" spans="1:36" ht="21" customHeight="1" thickBot="1" x14ac:dyDescent="0.45">
      <c r="A243" s="180"/>
      <c r="B243" s="341"/>
      <c r="C243" s="341"/>
      <c r="D243" s="180"/>
      <c r="E243" s="536"/>
      <c r="F243" s="536"/>
      <c r="G243" s="341"/>
      <c r="H243" s="341"/>
      <c r="I243" s="341"/>
      <c r="J243" s="341"/>
      <c r="K243" s="341"/>
      <c r="L243" s="341"/>
      <c r="M243" s="341"/>
      <c r="N243" s="341"/>
      <c r="O243" s="341"/>
      <c r="P243" s="341"/>
      <c r="Q243" s="341"/>
      <c r="R243" s="341"/>
      <c r="S243" s="341"/>
      <c r="T243" s="341"/>
      <c r="U243" s="341"/>
      <c r="V243" s="341"/>
      <c r="W243" s="341"/>
      <c r="X243" s="341"/>
      <c r="Y243" s="341"/>
      <c r="Z243" s="341"/>
      <c r="AA243" s="341"/>
      <c r="AB243" s="341"/>
      <c r="AC243" s="180"/>
      <c r="AD243" s="180"/>
      <c r="AE243" s="180"/>
      <c r="AF243" s="180"/>
      <c r="AG243" s="180"/>
      <c r="AH243" s="180"/>
      <c r="AI243" s="180"/>
      <c r="AJ243" s="180"/>
    </row>
    <row r="244" spans="1:36" ht="21" customHeight="1" thickBot="1" x14ac:dyDescent="0.45">
      <c r="A244" s="180"/>
      <c r="B244" s="341"/>
      <c r="C244" s="341"/>
      <c r="D244" s="180"/>
      <c r="E244" s="536"/>
      <c r="F244" s="536"/>
      <c r="G244" s="341"/>
      <c r="H244" s="341"/>
      <c r="I244" s="341"/>
      <c r="J244" s="341"/>
      <c r="K244" s="341"/>
      <c r="L244" s="341"/>
      <c r="M244" s="341"/>
      <c r="N244" s="341"/>
      <c r="O244" s="341"/>
      <c r="P244" s="341"/>
      <c r="Q244" s="341"/>
      <c r="R244" s="341"/>
      <c r="S244" s="341"/>
      <c r="T244" s="341"/>
      <c r="U244" s="341"/>
      <c r="V244" s="341"/>
      <c r="W244" s="341"/>
      <c r="X244" s="341"/>
      <c r="Y244" s="341"/>
      <c r="Z244" s="341"/>
      <c r="AA244" s="341"/>
      <c r="AB244" s="341"/>
      <c r="AC244" s="180"/>
      <c r="AD244" s="180"/>
      <c r="AE244" s="180"/>
      <c r="AF244" s="180"/>
      <c r="AG244" s="180"/>
      <c r="AH244" s="180"/>
      <c r="AI244" s="180"/>
      <c r="AJ244" s="180"/>
    </row>
    <row r="245" spans="1:36" ht="21" customHeight="1" thickBot="1" x14ac:dyDescent="0.45">
      <c r="A245" s="180"/>
      <c r="B245" s="341"/>
      <c r="C245" s="341"/>
      <c r="D245" s="180"/>
      <c r="E245" s="536"/>
      <c r="F245" s="536"/>
      <c r="G245" s="341"/>
      <c r="H245" s="341"/>
      <c r="I245" s="341"/>
      <c r="J245" s="341"/>
      <c r="K245" s="341"/>
      <c r="L245" s="341"/>
      <c r="M245" s="341"/>
      <c r="N245" s="341"/>
      <c r="O245" s="341"/>
      <c r="P245" s="341"/>
      <c r="Q245" s="341"/>
      <c r="R245" s="341"/>
      <c r="S245" s="341"/>
      <c r="T245" s="341"/>
      <c r="U245" s="341"/>
      <c r="V245" s="341"/>
      <c r="W245" s="341"/>
      <c r="X245" s="341"/>
      <c r="Y245" s="341"/>
      <c r="Z245" s="341"/>
      <c r="AA245" s="341"/>
      <c r="AB245" s="341"/>
      <c r="AC245" s="180"/>
      <c r="AD245" s="180"/>
      <c r="AE245" s="180"/>
      <c r="AF245" s="180"/>
      <c r="AG245" s="180"/>
      <c r="AH245" s="180"/>
      <c r="AI245" s="180"/>
      <c r="AJ245" s="180"/>
    </row>
    <row r="246" spans="1:36" ht="21" customHeight="1" thickBot="1" x14ac:dyDescent="0.45">
      <c r="A246" s="180"/>
      <c r="B246" s="341"/>
      <c r="C246" s="341"/>
      <c r="D246" s="180"/>
      <c r="E246" s="536"/>
      <c r="F246" s="536"/>
      <c r="G246" s="341"/>
      <c r="H246" s="341"/>
      <c r="I246" s="341"/>
      <c r="J246" s="341"/>
      <c r="K246" s="341"/>
      <c r="L246" s="341"/>
      <c r="M246" s="341"/>
      <c r="N246" s="341"/>
      <c r="O246" s="341"/>
      <c r="P246" s="341"/>
      <c r="Q246" s="341"/>
      <c r="R246" s="341"/>
      <c r="S246" s="341"/>
      <c r="T246" s="341"/>
      <c r="U246" s="341"/>
      <c r="V246" s="341"/>
      <c r="W246" s="341"/>
      <c r="X246" s="341"/>
      <c r="Y246" s="341"/>
      <c r="Z246" s="341"/>
      <c r="AA246" s="341"/>
      <c r="AB246" s="341"/>
      <c r="AC246" s="180"/>
      <c r="AD246" s="180"/>
      <c r="AE246" s="180"/>
      <c r="AF246" s="180"/>
      <c r="AG246" s="180"/>
      <c r="AH246" s="180"/>
      <c r="AI246" s="180"/>
      <c r="AJ246" s="180"/>
    </row>
    <row r="247" spans="1:36" ht="21" customHeight="1" thickBot="1" x14ac:dyDescent="0.45">
      <c r="A247" s="180"/>
      <c r="B247" s="341"/>
      <c r="C247" s="341"/>
      <c r="D247" s="180"/>
      <c r="E247" s="536"/>
      <c r="F247" s="536"/>
      <c r="G247" s="341"/>
      <c r="H247" s="341"/>
      <c r="I247" s="341"/>
      <c r="J247" s="341"/>
      <c r="K247" s="341"/>
      <c r="L247" s="341"/>
      <c r="M247" s="341"/>
      <c r="N247" s="341"/>
      <c r="O247" s="341"/>
      <c r="P247" s="341"/>
      <c r="Q247" s="341"/>
      <c r="R247" s="341"/>
      <c r="S247" s="341"/>
      <c r="T247" s="341"/>
      <c r="U247" s="341"/>
      <c r="V247" s="341"/>
      <c r="W247" s="341"/>
      <c r="X247" s="341"/>
      <c r="Y247" s="341"/>
      <c r="Z247" s="341"/>
      <c r="AA247" s="341"/>
      <c r="AB247" s="341"/>
      <c r="AC247" s="180"/>
      <c r="AD247" s="180"/>
      <c r="AE247" s="180"/>
      <c r="AF247" s="180"/>
      <c r="AG247" s="180"/>
      <c r="AH247" s="180"/>
      <c r="AI247" s="180"/>
      <c r="AJ247" s="180"/>
    </row>
    <row r="248" spans="1:36" ht="21" customHeight="1" thickBot="1" x14ac:dyDescent="0.45">
      <c r="A248" s="180"/>
      <c r="B248" s="341"/>
      <c r="C248" s="341"/>
      <c r="D248" s="180"/>
      <c r="E248" s="536"/>
      <c r="F248" s="536"/>
      <c r="G248" s="341"/>
      <c r="H248" s="341"/>
      <c r="I248" s="341"/>
      <c r="J248" s="341"/>
      <c r="K248" s="341"/>
      <c r="L248" s="341"/>
      <c r="M248" s="341"/>
      <c r="N248" s="341"/>
      <c r="O248" s="341"/>
      <c r="P248" s="341"/>
      <c r="Q248" s="341"/>
      <c r="R248" s="341"/>
      <c r="S248" s="341"/>
      <c r="T248" s="341"/>
      <c r="U248" s="341"/>
      <c r="V248" s="341"/>
      <c r="W248" s="341"/>
      <c r="X248" s="341"/>
      <c r="Y248" s="341"/>
      <c r="Z248" s="341"/>
      <c r="AA248" s="341"/>
      <c r="AB248" s="341"/>
      <c r="AC248" s="180"/>
      <c r="AD248" s="180"/>
      <c r="AE248" s="180"/>
      <c r="AF248" s="180"/>
      <c r="AG248" s="180"/>
      <c r="AH248" s="180"/>
      <c r="AI248" s="180"/>
      <c r="AJ248" s="180"/>
    </row>
    <row r="249" spans="1:36" ht="21" customHeight="1" thickBot="1" x14ac:dyDescent="0.45">
      <c r="A249" s="180"/>
      <c r="B249" s="341"/>
      <c r="C249" s="341"/>
      <c r="D249" s="180"/>
      <c r="E249" s="536"/>
      <c r="F249" s="536"/>
      <c r="G249" s="341"/>
      <c r="H249" s="341"/>
      <c r="I249" s="341"/>
      <c r="J249" s="341"/>
      <c r="K249" s="341"/>
      <c r="L249" s="341"/>
      <c r="M249" s="341"/>
      <c r="N249" s="341"/>
      <c r="O249" s="341"/>
      <c r="P249" s="341"/>
      <c r="Q249" s="341"/>
      <c r="R249" s="341"/>
      <c r="S249" s="341"/>
      <c r="T249" s="341"/>
      <c r="U249" s="341"/>
      <c r="V249" s="341"/>
      <c r="W249" s="341"/>
      <c r="X249" s="341"/>
      <c r="Y249" s="341"/>
      <c r="Z249" s="341"/>
      <c r="AA249" s="341"/>
      <c r="AB249" s="341"/>
      <c r="AC249" s="180"/>
      <c r="AD249" s="180"/>
      <c r="AE249" s="180"/>
      <c r="AF249" s="180"/>
      <c r="AG249" s="180"/>
      <c r="AH249" s="180"/>
      <c r="AI249" s="180"/>
      <c r="AJ249" s="180"/>
    </row>
    <row r="250" spans="1:36" ht="21" customHeight="1" thickBot="1" x14ac:dyDescent="0.45">
      <c r="A250" s="180"/>
      <c r="B250" s="341"/>
      <c r="C250" s="341"/>
      <c r="D250" s="180"/>
      <c r="E250" s="536"/>
      <c r="F250" s="536"/>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180"/>
      <c r="AD250" s="180"/>
      <c r="AE250" s="180"/>
      <c r="AF250" s="180"/>
      <c r="AG250" s="180"/>
      <c r="AH250" s="180"/>
      <c r="AI250" s="180"/>
      <c r="AJ250" s="180"/>
    </row>
    <row r="251" spans="1:36" ht="21" customHeight="1" thickBot="1" x14ac:dyDescent="0.45">
      <c r="A251" s="180"/>
      <c r="B251" s="341"/>
      <c r="C251" s="341"/>
      <c r="D251" s="180"/>
      <c r="E251" s="536"/>
      <c r="F251" s="536"/>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180"/>
      <c r="AD251" s="180"/>
      <c r="AE251" s="180"/>
      <c r="AF251" s="180"/>
      <c r="AG251" s="180"/>
      <c r="AH251" s="180"/>
      <c r="AI251" s="180"/>
      <c r="AJ251" s="180"/>
    </row>
    <row r="252" spans="1:36" ht="21" customHeight="1" thickBot="1" x14ac:dyDescent="0.45">
      <c r="A252" s="180"/>
      <c r="B252" s="341"/>
      <c r="C252" s="341"/>
      <c r="D252" s="180"/>
      <c r="E252" s="536"/>
      <c r="F252" s="536"/>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180"/>
      <c r="AD252" s="180"/>
      <c r="AE252" s="180"/>
      <c r="AF252" s="180"/>
      <c r="AG252" s="180"/>
      <c r="AH252" s="180"/>
      <c r="AI252" s="180"/>
      <c r="AJ252" s="180"/>
    </row>
    <row r="253" spans="1:36" ht="21" customHeight="1" thickBot="1" x14ac:dyDescent="0.45">
      <c r="A253" s="180"/>
      <c r="B253" s="341"/>
      <c r="C253" s="341"/>
      <c r="D253" s="180"/>
      <c r="E253" s="536"/>
      <c r="F253" s="536"/>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180"/>
      <c r="AD253" s="180"/>
      <c r="AE253" s="180"/>
      <c r="AF253" s="180"/>
      <c r="AG253" s="180"/>
      <c r="AH253" s="180"/>
      <c r="AI253" s="180"/>
      <c r="AJ253" s="180"/>
    </row>
    <row r="254" spans="1:36" ht="21" customHeight="1" thickBot="1" x14ac:dyDescent="0.45">
      <c r="A254" s="180"/>
      <c r="B254" s="341"/>
      <c r="C254" s="341"/>
      <c r="D254" s="180"/>
      <c r="E254" s="536"/>
      <c r="F254" s="536"/>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180"/>
      <c r="AD254" s="180"/>
      <c r="AE254" s="180"/>
      <c r="AF254" s="180"/>
      <c r="AG254" s="180"/>
      <c r="AH254" s="180"/>
      <c r="AI254" s="180"/>
      <c r="AJ254" s="180"/>
    </row>
    <row r="255" spans="1:36" ht="21" customHeight="1" thickBot="1" x14ac:dyDescent="0.45">
      <c r="A255" s="180"/>
      <c r="B255" s="341"/>
      <c r="C255" s="341"/>
      <c r="D255" s="180"/>
      <c r="E255" s="536"/>
      <c r="F255" s="536"/>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180"/>
      <c r="AD255" s="180"/>
      <c r="AE255" s="180"/>
      <c r="AF255" s="180"/>
      <c r="AG255" s="180"/>
      <c r="AH255" s="180"/>
      <c r="AI255" s="180"/>
      <c r="AJ255" s="180"/>
    </row>
    <row r="256" spans="1:36" ht="21" customHeight="1" thickBot="1" x14ac:dyDescent="0.45">
      <c r="A256" s="180"/>
      <c r="B256" s="341"/>
      <c r="C256" s="341"/>
      <c r="D256" s="180"/>
      <c r="E256" s="536"/>
      <c r="F256" s="536"/>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180"/>
      <c r="AD256" s="180"/>
      <c r="AE256" s="180"/>
      <c r="AF256" s="180"/>
      <c r="AG256" s="180"/>
      <c r="AH256" s="180"/>
      <c r="AI256" s="180"/>
      <c r="AJ256" s="180"/>
    </row>
    <row r="257" spans="1:36" ht="21" customHeight="1" thickBot="1" x14ac:dyDescent="0.45">
      <c r="A257" s="180"/>
      <c r="B257" s="341"/>
      <c r="C257" s="341"/>
      <c r="D257" s="180"/>
      <c r="E257" s="536"/>
      <c r="F257" s="536"/>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180"/>
      <c r="AD257" s="180"/>
      <c r="AE257" s="180"/>
      <c r="AF257" s="180"/>
      <c r="AG257" s="180"/>
      <c r="AH257" s="180"/>
      <c r="AI257" s="180"/>
      <c r="AJ257" s="180"/>
    </row>
    <row r="258" spans="1:36" ht="21" customHeight="1" thickBot="1" x14ac:dyDescent="0.45">
      <c r="A258" s="180"/>
      <c r="B258" s="341"/>
      <c r="C258" s="341"/>
      <c r="D258" s="180"/>
      <c r="E258" s="536"/>
      <c r="F258" s="536"/>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180"/>
      <c r="AD258" s="180"/>
      <c r="AE258" s="180"/>
      <c r="AF258" s="180"/>
      <c r="AG258" s="180"/>
      <c r="AH258" s="180"/>
      <c r="AI258" s="180"/>
      <c r="AJ258" s="180"/>
    </row>
    <row r="259" spans="1:36" ht="21" customHeight="1" thickBot="1" x14ac:dyDescent="0.45">
      <c r="A259" s="180"/>
      <c r="B259" s="341"/>
      <c r="C259" s="341"/>
      <c r="D259" s="180"/>
      <c r="E259" s="536"/>
      <c r="F259" s="536"/>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180"/>
      <c r="AD259" s="180"/>
      <c r="AE259" s="180"/>
      <c r="AF259" s="180"/>
      <c r="AG259" s="180"/>
      <c r="AH259" s="180"/>
      <c r="AI259" s="180"/>
      <c r="AJ259" s="180"/>
    </row>
    <row r="260" spans="1:36" ht="21" customHeight="1" thickBot="1" x14ac:dyDescent="0.45">
      <c r="A260" s="180"/>
      <c r="B260" s="341"/>
      <c r="C260" s="341"/>
      <c r="D260" s="180"/>
      <c r="E260" s="536"/>
      <c r="F260" s="536"/>
      <c r="G260" s="341"/>
      <c r="H260" s="341"/>
      <c r="I260" s="341"/>
      <c r="J260" s="341"/>
      <c r="K260" s="341"/>
      <c r="L260" s="341"/>
      <c r="M260" s="341"/>
      <c r="N260" s="341"/>
      <c r="O260" s="341"/>
      <c r="P260" s="341"/>
      <c r="Q260" s="341"/>
      <c r="R260" s="341"/>
      <c r="S260" s="341"/>
      <c r="T260" s="341"/>
      <c r="U260" s="341"/>
      <c r="V260" s="341"/>
      <c r="W260" s="341"/>
      <c r="X260" s="341"/>
      <c r="Y260" s="341"/>
      <c r="Z260" s="341"/>
      <c r="AA260" s="341"/>
      <c r="AB260" s="341"/>
      <c r="AC260" s="180"/>
      <c r="AD260" s="180"/>
      <c r="AE260" s="180"/>
      <c r="AF260" s="180"/>
      <c r="AG260" s="180"/>
      <c r="AH260" s="180"/>
      <c r="AI260" s="180"/>
      <c r="AJ260" s="180"/>
    </row>
    <row r="261" spans="1:36" ht="21" customHeight="1" thickBot="1" x14ac:dyDescent="0.45">
      <c r="A261" s="180"/>
      <c r="B261" s="341"/>
      <c r="C261" s="341"/>
      <c r="D261" s="180"/>
      <c r="E261" s="536"/>
      <c r="F261" s="536"/>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180"/>
      <c r="AD261" s="180"/>
      <c r="AE261" s="180"/>
      <c r="AF261" s="180"/>
      <c r="AG261" s="180"/>
      <c r="AH261" s="180"/>
      <c r="AI261" s="180"/>
      <c r="AJ261" s="180"/>
    </row>
    <row r="262" spans="1:36" ht="21" customHeight="1" thickBot="1" x14ac:dyDescent="0.45">
      <c r="A262" s="180"/>
      <c r="B262" s="341"/>
      <c r="C262" s="341"/>
      <c r="D262" s="180"/>
      <c r="E262" s="536"/>
      <c r="F262" s="536"/>
      <c r="G262" s="341"/>
      <c r="H262" s="341"/>
      <c r="I262" s="341"/>
      <c r="J262" s="341"/>
      <c r="K262" s="341"/>
      <c r="L262" s="341"/>
      <c r="M262" s="341"/>
      <c r="N262" s="341"/>
      <c r="O262" s="341"/>
      <c r="P262" s="341"/>
      <c r="Q262" s="341"/>
      <c r="R262" s="341"/>
      <c r="S262" s="341"/>
      <c r="T262" s="341"/>
      <c r="U262" s="341"/>
      <c r="V262" s="341"/>
      <c r="W262" s="341"/>
      <c r="X262" s="341"/>
      <c r="Y262" s="341"/>
      <c r="Z262" s="341"/>
      <c r="AA262" s="341"/>
      <c r="AB262" s="341"/>
      <c r="AC262" s="180"/>
      <c r="AD262" s="180"/>
      <c r="AE262" s="180"/>
      <c r="AF262" s="180"/>
      <c r="AG262" s="180"/>
      <c r="AH262" s="180"/>
      <c r="AI262" s="180"/>
      <c r="AJ262" s="180"/>
    </row>
    <row r="263" spans="1:36" ht="21" customHeight="1" thickBot="1" x14ac:dyDescent="0.45">
      <c r="A263" s="180"/>
      <c r="B263" s="341"/>
      <c r="C263" s="341"/>
      <c r="D263" s="180"/>
      <c r="E263" s="536"/>
      <c r="F263" s="536"/>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180"/>
      <c r="AD263" s="180"/>
      <c r="AE263" s="180"/>
      <c r="AF263" s="180"/>
      <c r="AG263" s="180"/>
      <c r="AH263" s="180"/>
      <c r="AI263" s="180"/>
      <c r="AJ263" s="180"/>
    </row>
    <row r="264" spans="1:36" ht="21" customHeight="1" thickBot="1" x14ac:dyDescent="0.45">
      <c r="A264" s="180"/>
      <c r="B264" s="341"/>
      <c r="C264" s="341"/>
      <c r="D264" s="180"/>
      <c r="E264" s="536"/>
      <c r="F264" s="536"/>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180"/>
      <c r="AD264" s="180"/>
      <c r="AE264" s="180"/>
      <c r="AF264" s="180"/>
      <c r="AG264" s="180"/>
      <c r="AH264" s="180"/>
      <c r="AI264" s="180"/>
      <c r="AJ264" s="180"/>
    </row>
    <row r="265" spans="1:36" ht="21" customHeight="1" thickBot="1" x14ac:dyDescent="0.45">
      <c r="A265" s="180"/>
      <c r="B265" s="341"/>
      <c r="C265" s="341"/>
      <c r="D265" s="180"/>
      <c r="E265" s="536"/>
      <c r="F265" s="536"/>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180"/>
      <c r="AD265" s="180"/>
      <c r="AE265" s="180"/>
      <c r="AF265" s="180"/>
      <c r="AG265" s="180"/>
      <c r="AH265" s="180"/>
      <c r="AI265" s="180"/>
      <c r="AJ265" s="180"/>
    </row>
    <row r="266" spans="1:36" ht="21" customHeight="1" thickBot="1" x14ac:dyDescent="0.45">
      <c r="A266" s="180"/>
      <c r="B266" s="341"/>
      <c r="C266" s="341"/>
      <c r="D266" s="180"/>
      <c r="E266" s="536"/>
      <c r="F266" s="536"/>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180"/>
      <c r="AD266" s="180"/>
      <c r="AE266" s="180"/>
      <c r="AF266" s="180"/>
      <c r="AG266" s="180"/>
      <c r="AH266" s="180"/>
      <c r="AI266" s="180"/>
      <c r="AJ266" s="180"/>
    </row>
    <row r="267" spans="1:36" ht="21" customHeight="1" thickBot="1" x14ac:dyDescent="0.45">
      <c r="A267" s="180"/>
      <c r="B267" s="341"/>
      <c r="C267" s="341"/>
      <c r="D267" s="180"/>
      <c r="E267" s="536"/>
      <c r="F267" s="536"/>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180"/>
      <c r="AD267" s="180"/>
      <c r="AE267" s="180"/>
      <c r="AF267" s="180"/>
      <c r="AG267" s="180"/>
      <c r="AH267" s="180"/>
      <c r="AI267" s="180"/>
      <c r="AJ267" s="180"/>
    </row>
    <row r="268" spans="1:36" ht="21" customHeight="1" thickBot="1" x14ac:dyDescent="0.45">
      <c r="A268" s="180"/>
      <c r="B268" s="341"/>
      <c r="C268" s="341"/>
      <c r="D268" s="180"/>
      <c r="E268" s="536"/>
      <c r="F268" s="536"/>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180"/>
      <c r="AD268" s="180"/>
      <c r="AE268" s="180"/>
      <c r="AF268" s="180"/>
      <c r="AG268" s="180"/>
      <c r="AH268" s="180"/>
      <c r="AI268" s="180"/>
      <c r="AJ268" s="180"/>
    </row>
    <row r="269" spans="1:36" ht="21" customHeight="1" thickBot="1" x14ac:dyDescent="0.45">
      <c r="A269" s="180"/>
      <c r="B269" s="341"/>
      <c r="C269" s="341"/>
      <c r="D269" s="180"/>
      <c r="E269" s="536"/>
      <c r="F269" s="536"/>
      <c r="G269" s="341"/>
      <c r="H269" s="341"/>
      <c r="I269" s="341"/>
      <c r="J269" s="341"/>
      <c r="K269" s="341"/>
      <c r="L269" s="341"/>
      <c r="M269" s="341"/>
      <c r="N269" s="341"/>
      <c r="O269" s="341"/>
      <c r="P269" s="341"/>
      <c r="Q269" s="341"/>
      <c r="R269" s="341"/>
      <c r="S269" s="341"/>
      <c r="T269" s="341"/>
      <c r="U269" s="341"/>
      <c r="V269" s="341"/>
      <c r="W269" s="341"/>
      <c r="X269" s="341"/>
      <c r="Y269" s="341"/>
      <c r="Z269" s="341"/>
      <c r="AA269" s="341"/>
      <c r="AB269" s="341"/>
      <c r="AC269" s="180"/>
      <c r="AD269" s="180"/>
      <c r="AE269" s="180"/>
      <c r="AF269" s="180"/>
      <c r="AG269" s="180"/>
      <c r="AH269" s="180"/>
      <c r="AI269" s="180"/>
      <c r="AJ269" s="180"/>
    </row>
    <row r="270" spans="1:36" ht="21" customHeight="1" thickBot="1" x14ac:dyDescent="0.45">
      <c r="A270" s="180"/>
      <c r="B270" s="341"/>
      <c r="C270" s="341"/>
      <c r="D270" s="180"/>
      <c r="E270" s="536"/>
      <c r="F270" s="536"/>
      <c r="G270" s="341"/>
      <c r="H270" s="341"/>
      <c r="I270" s="341"/>
      <c r="J270" s="341"/>
      <c r="K270" s="341"/>
      <c r="L270" s="341"/>
      <c r="M270" s="341"/>
      <c r="N270" s="341"/>
      <c r="O270" s="341"/>
      <c r="P270" s="341"/>
      <c r="Q270" s="341"/>
      <c r="R270" s="341"/>
      <c r="S270" s="341"/>
      <c r="T270" s="341"/>
      <c r="U270" s="341"/>
      <c r="V270" s="341"/>
      <c r="W270" s="341"/>
      <c r="X270" s="341"/>
      <c r="Y270" s="341"/>
      <c r="Z270" s="341"/>
      <c r="AA270" s="341"/>
      <c r="AB270" s="341"/>
      <c r="AC270" s="180"/>
      <c r="AD270" s="180"/>
      <c r="AE270" s="180"/>
      <c r="AF270" s="180"/>
      <c r="AG270" s="180"/>
      <c r="AH270" s="180"/>
      <c r="AI270" s="180"/>
      <c r="AJ270" s="180"/>
    </row>
    <row r="271" spans="1:36" ht="21" customHeight="1" thickBot="1" x14ac:dyDescent="0.45">
      <c r="A271" s="180"/>
      <c r="B271" s="341"/>
      <c r="C271" s="341"/>
      <c r="D271" s="180"/>
      <c r="E271" s="536"/>
      <c r="F271" s="536"/>
      <c r="G271" s="341"/>
      <c r="H271" s="341"/>
      <c r="I271" s="341"/>
      <c r="J271" s="341"/>
      <c r="K271" s="341"/>
      <c r="L271" s="341"/>
      <c r="M271" s="341"/>
      <c r="N271" s="341"/>
      <c r="O271" s="341"/>
      <c r="P271" s="341"/>
      <c r="Q271" s="341"/>
      <c r="R271" s="341"/>
      <c r="S271" s="341"/>
      <c r="T271" s="341"/>
      <c r="U271" s="341"/>
      <c r="V271" s="341"/>
      <c r="W271" s="341"/>
      <c r="X271" s="341"/>
      <c r="Y271" s="341"/>
      <c r="Z271" s="341"/>
      <c r="AA271" s="341"/>
      <c r="AB271" s="341"/>
      <c r="AC271" s="180"/>
      <c r="AD271" s="180"/>
      <c r="AE271" s="180"/>
      <c r="AF271" s="180"/>
      <c r="AG271" s="180"/>
      <c r="AH271" s="180"/>
      <c r="AI271" s="180"/>
      <c r="AJ271" s="180"/>
    </row>
    <row r="272" spans="1:36" ht="21" customHeight="1" thickBot="1" x14ac:dyDescent="0.45">
      <c r="A272" s="180"/>
      <c r="B272" s="341"/>
      <c r="C272" s="341"/>
      <c r="D272" s="180"/>
      <c r="E272" s="536"/>
      <c r="F272" s="536"/>
      <c r="G272" s="341"/>
      <c r="H272" s="341"/>
      <c r="I272" s="341"/>
      <c r="J272" s="341"/>
      <c r="K272" s="341"/>
      <c r="L272" s="341"/>
      <c r="M272" s="341"/>
      <c r="N272" s="341"/>
      <c r="O272" s="341"/>
      <c r="P272" s="341"/>
      <c r="Q272" s="341"/>
      <c r="R272" s="341"/>
      <c r="S272" s="341"/>
      <c r="T272" s="341"/>
      <c r="U272" s="341"/>
      <c r="V272" s="341"/>
      <c r="W272" s="341"/>
      <c r="X272" s="341"/>
      <c r="Y272" s="341"/>
      <c r="Z272" s="344"/>
      <c r="AA272" s="344"/>
      <c r="AB272" s="666"/>
      <c r="AC272" s="251"/>
      <c r="AD272" s="186"/>
      <c r="AE272" s="180"/>
      <c r="AF272" s="180"/>
      <c r="AG272" s="180"/>
      <c r="AH272" s="180"/>
      <c r="AI272" s="180"/>
      <c r="AJ272" s="180"/>
    </row>
    <row r="273" spans="1:36" ht="21" customHeight="1" thickBot="1" x14ac:dyDescent="0.45">
      <c r="A273" s="180"/>
      <c r="B273" s="341"/>
      <c r="C273" s="341"/>
      <c r="D273" s="180"/>
      <c r="E273" s="536"/>
      <c r="F273" s="536"/>
      <c r="G273" s="341"/>
      <c r="H273" s="341"/>
      <c r="I273" s="341"/>
      <c r="J273" s="341"/>
      <c r="K273" s="341"/>
      <c r="L273" s="341"/>
      <c r="M273" s="341"/>
      <c r="N273" s="341"/>
      <c r="O273" s="341"/>
      <c r="P273" s="341"/>
      <c r="Q273" s="341"/>
      <c r="R273" s="341"/>
      <c r="S273" s="341"/>
      <c r="T273" s="341"/>
      <c r="U273" s="341"/>
      <c r="V273" s="341"/>
      <c r="W273" s="341"/>
      <c r="X273" s="341"/>
      <c r="Y273" s="341"/>
      <c r="Z273" s="344"/>
      <c r="AA273" s="344"/>
      <c r="AB273" s="666"/>
      <c r="AC273" s="251"/>
      <c r="AD273" s="186"/>
      <c r="AE273" s="180"/>
      <c r="AF273" s="180"/>
      <c r="AG273" s="180"/>
      <c r="AH273" s="180"/>
      <c r="AI273" s="180"/>
      <c r="AJ273" s="180"/>
    </row>
    <row r="274" spans="1:36" ht="21" customHeight="1" thickBot="1" x14ac:dyDescent="0.45">
      <c r="A274" s="180"/>
      <c r="B274" s="341"/>
      <c r="C274" s="341"/>
      <c r="D274" s="180"/>
      <c r="E274" s="536"/>
      <c r="F274" s="536"/>
      <c r="G274" s="341"/>
      <c r="H274" s="341"/>
      <c r="I274" s="341"/>
      <c r="J274" s="341"/>
      <c r="K274" s="341"/>
      <c r="L274" s="341"/>
      <c r="M274" s="341"/>
      <c r="N274" s="341"/>
      <c r="O274" s="341"/>
      <c r="P274" s="341"/>
      <c r="Q274" s="341"/>
      <c r="R274" s="341"/>
      <c r="S274" s="341"/>
      <c r="T274" s="341"/>
      <c r="U274" s="341"/>
      <c r="V274" s="341"/>
      <c r="W274" s="341"/>
      <c r="X274" s="341"/>
      <c r="Y274" s="341"/>
      <c r="Z274" s="344"/>
      <c r="AA274" s="344"/>
      <c r="AB274" s="666"/>
      <c r="AC274" s="251"/>
      <c r="AD274" s="186"/>
      <c r="AE274" s="180"/>
      <c r="AF274" s="180"/>
      <c r="AG274" s="180"/>
      <c r="AH274" s="180"/>
      <c r="AI274" s="180"/>
      <c r="AJ274" s="180"/>
    </row>
    <row r="275" spans="1:36" ht="21" customHeight="1" thickBot="1" x14ac:dyDescent="0.45">
      <c r="A275" s="180"/>
      <c r="B275" s="341"/>
      <c r="C275" s="341"/>
      <c r="D275" s="180"/>
      <c r="E275" s="536"/>
      <c r="F275" s="536"/>
      <c r="G275" s="341"/>
      <c r="H275" s="341"/>
      <c r="I275" s="341"/>
      <c r="J275" s="341"/>
      <c r="K275" s="341"/>
      <c r="L275" s="341"/>
      <c r="M275" s="341"/>
      <c r="N275" s="341"/>
      <c r="O275" s="341"/>
      <c r="P275" s="341"/>
      <c r="Q275" s="341"/>
      <c r="R275" s="341"/>
      <c r="S275" s="341"/>
      <c r="T275" s="341"/>
      <c r="U275" s="341"/>
      <c r="V275" s="341"/>
      <c r="W275" s="341"/>
      <c r="X275" s="341"/>
      <c r="Y275" s="341"/>
      <c r="Z275" s="344"/>
      <c r="AA275" s="344"/>
      <c r="AB275" s="666"/>
      <c r="AC275" s="251"/>
      <c r="AD275" s="186"/>
      <c r="AE275" s="180"/>
      <c r="AF275" s="180"/>
      <c r="AG275" s="180"/>
      <c r="AH275" s="180"/>
      <c r="AI275" s="180"/>
      <c r="AJ275" s="180"/>
    </row>
    <row r="276" spans="1:36" ht="21" customHeight="1" thickBot="1" x14ac:dyDescent="0.45">
      <c r="A276" s="180"/>
      <c r="B276" s="341"/>
      <c r="C276" s="341"/>
      <c r="D276" s="180"/>
      <c r="E276" s="536"/>
      <c r="F276" s="536"/>
      <c r="G276" s="341"/>
      <c r="H276" s="341"/>
      <c r="I276" s="341"/>
      <c r="J276" s="341"/>
      <c r="K276" s="341"/>
      <c r="L276" s="341"/>
      <c r="M276" s="341"/>
      <c r="N276" s="341"/>
      <c r="O276" s="341"/>
      <c r="P276" s="341"/>
      <c r="Q276" s="341"/>
      <c r="R276" s="341"/>
      <c r="S276" s="341"/>
      <c r="T276" s="341"/>
      <c r="U276" s="341"/>
      <c r="V276" s="341"/>
      <c r="W276" s="341"/>
      <c r="X276" s="341"/>
      <c r="Y276" s="341"/>
      <c r="Z276" s="344"/>
      <c r="AA276" s="344"/>
      <c r="AB276" s="666"/>
      <c r="AC276" s="251"/>
      <c r="AD276" s="186"/>
      <c r="AE276" s="180"/>
      <c r="AF276" s="180"/>
      <c r="AG276" s="180"/>
      <c r="AH276" s="180"/>
      <c r="AI276" s="180"/>
      <c r="AJ276" s="180"/>
    </row>
    <row r="277" spans="1:36" ht="21" customHeight="1" thickBot="1" x14ac:dyDescent="0.45">
      <c r="A277" s="180"/>
      <c r="B277" s="341"/>
      <c r="C277" s="341"/>
      <c r="D277" s="180"/>
      <c r="E277" s="536"/>
      <c r="F277" s="536"/>
      <c r="G277" s="341"/>
      <c r="H277" s="341"/>
      <c r="I277" s="341"/>
      <c r="J277" s="341"/>
      <c r="K277" s="341"/>
      <c r="L277" s="341"/>
      <c r="M277" s="341"/>
      <c r="N277" s="341"/>
      <c r="O277" s="341"/>
      <c r="P277" s="341"/>
      <c r="Q277" s="341"/>
      <c r="R277" s="341"/>
      <c r="S277" s="341"/>
      <c r="T277" s="341"/>
      <c r="U277" s="341"/>
      <c r="V277" s="341"/>
      <c r="W277" s="341"/>
      <c r="X277" s="341"/>
      <c r="Y277" s="341"/>
      <c r="Z277" s="344"/>
      <c r="AA277" s="344"/>
      <c r="AB277" s="666"/>
      <c r="AC277" s="251"/>
      <c r="AD277" s="186"/>
      <c r="AE277" s="180"/>
      <c r="AF277" s="180"/>
      <c r="AG277" s="180"/>
      <c r="AH277" s="180"/>
      <c r="AI277" s="180"/>
      <c r="AJ277" s="180"/>
    </row>
    <row r="278" spans="1:36" ht="21" customHeight="1" thickBot="1" x14ac:dyDescent="0.45">
      <c r="A278" s="180"/>
      <c r="B278" s="341"/>
      <c r="C278" s="341"/>
      <c r="D278" s="180"/>
      <c r="E278" s="536"/>
      <c r="F278" s="536"/>
      <c r="G278" s="341"/>
      <c r="H278" s="341"/>
      <c r="I278" s="341"/>
      <c r="J278" s="341"/>
      <c r="K278" s="341"/>
      <c r="L278" s="341"/>
      <c r="M278" s="341"/>
      <c r="N278" s="341"/>
      <c r="O278" s="341"/>
      <c r="P278" s="341"/>
      <c r="Q278" s="341"/>
      <c r="R278" s="341"/>
      <c r="S278" s="341"/>
      <c r="T278" s="341"/>
      <c r="U278" s="341"/>
      <c r="V278" s="341"/>
      <c r="W278" s="341"/>
      <c r="X278" s="341"/>
      <c r="Y278" s="341"/>
      <c r="Z278" s="344"/>
      <c r="AA278" s="344"/>
      <c r="AB278" s="666"/>
      <c r="AC278" s="251"/>
      <c r="AD278" s="186"/>
      <c r="AE278" s="180"/>
      <c r="AF278" s="180"/>
      <c r="AG278" s="180"/>
      <c r="AH278" s="180"/>
      <c r="AI278" s="180"/>
      <c r="AJ278" s="180"/>
    </row>
    <row r="279" spans="1:36" ht="21" customHeight="1" thickBot="1" x14ac:dyDescent="0.45">
      <c r="A279" s="180"/>
      <c r="B279" s="341"/>
      <c r="C279" s="341"/>
      <c r="D279" s="180"/>
      <c r="E279" s="536"/>
      <c r="F279" s="536"/>
      <c r="G279" s="341"/>
      <c r="H279" s="341"/>
      <c r="I279" s="341"/>
      <c r="J279" s="341"/>
      <c r="K279" s="341"/>
      <c r="L279" s="341"/>
      <c r="M279" s="341"/>
      <c r="N279" s="341"/>
      <c r="O279" s="341"/>
      <c r="P279" s="341"/>
      <c r="Q279" s="341"/>
      <c r="R279" s="341"/>
      <c r="S279" s="341"/>
      <c r="T279" s="341"/>
      <c r="U279" s="341"/>
      <c r="V279" s="341"/>
      <c r="W279" s="341"/>
      <c r="X279" s="341"/>
      <c r="Y279" s="341"/>
      <c r="Z279" s="344"/>
      <c r="AA279" s="344"/>
      <c r="AB279" s="666"/>
      <c r="AC279" s="251"/>
      <c r="AD279" s="186"/>
      <c r="AE279" s="180"/>
      <c r="AF279" s="180"/>
      <c r="AG279" s="180"/>
      <c r="AH279" s="180"/>
      <c r="AI279" s="180"/>
      <c r="AJ279" s="180"/>
    </row>
    <row r="280" spans="1:36" ht="21" customHeight="1" thickBot="1" x14ac:dyDescent="0.45">
      <c r="A280" s="180"/>
      <c r="B280" s="341"/>
      <c r="C280" s="341"/>
      <c r="D280" s="180"/>
      <c r="E280" s="536"/>
      <c r="F280" s="536"/>
      <c r="G280" s="341"/>
      <c r="H280" s="341"/>
      <c r="I280" s="341"/>
      <c r="J280" s="341"/>
      <c r="K280" s="341"/>
      <c r="L280" s="341"/>
      <c r="M280" s="341"/>
      <c r="N280" s="341"/>
      <c r="O280" s="341"/>
      <c r="P280" s="341"/>
      <c r="Q280" s="341"/>
      <c r="R280" s="341"/>
      <c r="S280" s="341"/>
      <c r="T280" s="341"/>
      <c r="U280" s="341"/>
      <c r="V280" s="341"/>
      <c r="W280" s="341"/>
      <c r="X280" s="341"/>
      <c r="Y280" s="341"/>
      <c r="Z280" s="344"/>
      <c r="AA280" s="344"/>
      <c r="AB280" s="666"/>
      <c r="AC280" s="251"/>
      <c r="AD280" s="186"/>
      <c r="AE280" s="180"/>
      <c r="AF280" s="180"/>
      <c r="AG280" s="180"/>
      <c r="AH280" s="180"/>
      <c r="AI280" s="180"/>
      <c r="AJ280" s="180"/>
    </row>
    <row r="281" spans="1:36" ht="21" customHeight="1" thickBot="1" x14ac:dyDescent="0.45">
      <c r="A281" s="180"/>
      <c r="B281" s="341"/>
      <c r="C281" s="341"/>
      <c r="D281" s="180"/>
      <c r="E281" s="536"/>
      <c r="F281" s="536"/>
      <c r="G281" s="341"/>
      <c r="H281" s="341"/>
      <c r="I281" s="341"/>
      <c r="J281" s="341"/>
      <c r="K281" s="341"/>
      <c r="L281" s="341"/>
      <c r="M281" s="341"/>
      <c r="N281" s="341"/>
      <c r="O281" s="341"/>
      <c r="P281" s="341"/>
      <c r="Q281" s="341"/>
      <c r="R281" s="341"/>
      <c r="S281" s="341"/>
      <c r="T281" s="341"/>
      <c r="U281" s="341"/>
      <c r="V281" s="341"/>
      <c r="W281" s="341"/>
      <c r="X281" s="341"/>
      <c r="Y281" s="341"/>
      <c r="Z281" s="344"/>
      <c r="AA281" s="344"/>
      <c r="AB281" s="666"/>
      <c r="AC281" s="251"/>
      <c r="AD281" s="186"/>
      <c r="AE281" s="180"/>
      <c r="AF281" s="180"/>
      <c r="AG281" s="180"/>
      <c r="AH281" s="180"/>
      <c r="AI281" s="180"/>
      <c r="AJ281" s="180"/>
    </row>
    <row r="282" spans="1:36" ht="21" customHeight="1" thickBot="1" x14ac:dyDescent="0.45">
      <c r="A282" s="180"/>
      <c r="B282" s="341"/>
      <c r="C282" s="341"/>
      <c r="D282" s="180"/>
      <c r="E282" s="536"/>
      <c r="F282" s="536"/>
      <c r="G282" s="341"/>
      <c r="H282" s="341"/>
      <c r="I282" s="341"/>
      <c r="J282" s="341"/>
      <c r="K282" s="341"/>
      <c r="L282" s="341"/>
      <c r="M282" s="341"/>
      <c r="N282" s="341"/>
      <c r="O282" s="341"/>
      <c r="P282" s="341"/>
      <c r="Q282" s="341"/>
      <c r="R282" s="341"/>
      <c r="S282" s="341"/>
      <c r="T282" s="341"/>
      <c r="U282" s="341"/>
      <c r="V282" s="341"/>
      <c r="W282" s="341"/>
      <c r="X282" s="341"/>
      <c r="Y282" s="341"/>
      <c r="Z282" s="344"/>
      <c r="AA282" s="344"/>
      <c r="AB282" s="666"/>
      <c r="AC282" s="251"/>
      <c r="AD282" s="186"/>
      <c r="AE282" s="180"/>
      <c r="AF282" s="180"/>
      <c r="AG282" s="180"/>
      <c r="AH282" s="180"/>
      <c r="AI282" s="180"/>
      <c r="AJ282" s="180"/>
    </row>
    <row r="283" spans="1:36" ht="21" customHeight="1" thickBot="1" x14ac:dyDescent="0.45">
      <c r="A283" s="180"/>
      <c r="B283" s="341"/>
      <c r="C283" s="341"/>
      <c r="D283" s="180"/>
      <c r="E283" s="536"/>
      <c r="F283" s="536"/>
      <c r="G283" s="341"/>
      <c r="H283" s="341"/>
      <c r="I283" s="341"/>
      <c r="J283" s="341"/>
      <c r="K283" s="341"/>
      <c r="L283" s="341"/>
      <c r="M283" s="341"/>
      <c r="N283" s="341"/>
      <c r="O283" s="341"/>
      <c r="P283" s="341"/>
      <c r="Q283" s="341"/>
      <c r="R283" s="341"/>
      <c r="S283" s="341"/>
      <c r="T283" s="341"/>
      <c r="U283" s="341"/>
      <c r="V283" s="341"/>
      <c r="W283" s="341"/>
      <c r="X283" s="341"/>
      <c r="Y283" s="341"/>
      <c r="Z283" s="344"/>
      <c r="AA283" s="344"/>
      <c r="AB283" s="666"/>
      <c r="AC283" s="251"/>
      <c r="AD283" s="186"/>
      <c r="AE283" s="180"/>
      <c r="AF283" s="180"/>
      <c r="AG283" s="180"/>
      <c r="AH283" s="180"/>
      <c r="AI283" s="180"/>
      <c r="AJ283" s="180"/>
    </row>
    <row r="284" spans="1:36" ht="21" customHeight="1" thickBot="1" x14ac:dyDescent="0.45">
      <c r="A284" s="180"/>
      <c r="B284" s="341"/>
      <c r="C284" s="341"/>
      <c r="D284" s="180"/>
      <c r="E284" s="536"/>
      <c r="F284" s="536"/>
      <c r="G284" s="341"/>
      <c r="H284" s="341"/>
      <c r="I284" s="341"/>
      <c r="J284" s="341"/>
      <c r="K284" s="341"/>
      <c r="L284" s="341"/>
      <c r="M284" s="341"/>
      <c r="N284" s="341"/>
      <c r="O284" s="341"/>
      <c r="P284" s="341"/>
      <c r="Q284" s="341"/>
      <c r="R284" s="341"/>
      <c r="S284" s="341"/>
      <c r="T284" s="341"/>
      <c r="U284" s="341"/>
      <c r="V284" s="341"/>
      <c r="W284" s="341"/>
      <c r="X284" s="341"/>
      <c r="Y284" s="341"/>
      <c r="Z284" s="344"/>
      <c r="AA284" s="344"/>
      <c r="AB284" s="666"/>
      <c r="AC284" s="251"/>
      <c r="AD284" s="186"/>
      <c r="AE284" s="180"/>
      <c r="AF284" s="180"/>
      <c r="AG284" s="180"/>
      <c r="AH284" s="180"/>
      <c r="AI284" s="180"/>
      <c r="AJ284" s="180"/>
    </row>
    <row r="285" spans="1:36" ht="21" customHeight="1" thickBot="1" x14ac:dyDescent="0.45">
      <c r="A285" s="180"/>
      <c r="B285" s="341"/>
      <c r="C285" s="341"/>
      <c r="D285" s="180"/>
      <c r="E285" s="536"/>
      <c r="F285" s="536"/>
      <c r="G285" s="341"/>
      <c r="H285" s="341"/>
      <c r="I285" s="341"/>
      <c r="J285" s="341"/>
      <c r="K285" s="341"/>
      <c r="L285" s="341"/>
      <c r="M285" s="341"/>
      <c r="N285" s="341"/>
      <c r="O285" s="341"/>
      <c r="P285" s="341"/>
      <c r="Q285" s="341"/>
      <c r="R285" s="341"/>
      <c r="S285" s="341"/>
      <c r="T285" s="341"/>
      <c r="U285" s="341"/>
      <c r="V285" s="341"/>
      <c r="W285" s="341"/>
      <c r="X285" s="341"/>
      <c r="Y285" s="341"/>
      <c r="Z285" s="344"/>
      <c r="AA285" s="344"/>
      <c r="AB285" s="666"/>
      <c r="AC285" s="251"/>
      <c r="AD285" s="186"/>
      <c r="AE285" s="180"/>
      <c r="AF285" s="180"/>
      <c r="AG285" s="180"/>
      <c r="AH285" s="180"/>
      <c r="AI285" s="180"/>
      <c r="AJ285" s="180"/>
    </row>
    <row r="286" spans="1:36" ht="21" customHeight="1" thickBot="1" x14ac:dyDescent="0.45">
      <c r="A286" s="180"/>
      <c r="B286" s="341"/>
      <c r="C286" s="341"/>
      <c r="D286" s="180"/>
      <c r="E286" s="536"/>
      <c r="F286" s="536"/>
      <c r="G286" s="341"/>
      <c r="H286" s="341"/>
      <c r="I286" s="341"/>
      <c r="J286" s="341"/>
      <c r="K286" s="341"/>
      <c r="L286" s="341"/>
      <c r="M286" s="341"/>
      <c r="N286" s="341"/>
      <c r="O286" s="341"/>
      <c r="P286" s="341"/>
      <c r="Q286" s="341"/>
      <c r="R286" s="341"/>
      <c r="S286" s="341"/>
      <c r="T286" s="341"/>
      <c r="U286" s="341"/>
      <c r="V286" s="341"/>
      <c r="W286" s="341"/>
      <c r="X286" s="341"/>
      <c r="Y286" s="341"/>
      <c r="Z286" s="344"/>
      <c r="AA286" s="344"/>
      <c r="AB286" s="666"/>
      <c r="AC286" s="251"/>
      <c r="AD286" s="186"/>
      <c r="AE286" s="180"/>
      <c r="AF286" s="180"/>
      <c r="AG286" s="180"/>
      <c r="AH286" s="180"/>
      <c r="AI286" s="180"/>
      <c r="AJ286" s="180"/>
    </row>
    <row r="287" spans="1:36" ht="21" customHeight="1" thickBot="1" x14ac:dyDescent="0.45">
      <c r="A287" s="180"/>
      <c r="B287" s="341"/>
      <c r="C287" s="341"/>
      <c r="D287" s="180"/>
      <c r="E287" s="536"/>
      <c r="F287" s="536"/>
      <c r="G287" s="341"/>
      <c r="H287" s="341"/>
      <c r="I287" s="341"/>
      <c r="J287" s="341"/>
      <c r="K287" s="341"/>
      <c r="L287" s="341"/>
      <c r="M287" s="341"/>
      <c r="N287" s="341"/>
      <c r="O287" s="341"/>
      <c r="P287" s="341"/>
      <c r="Q287" s="341"/>
      <c r="R287" s="341"/>
      <c r="S287" s="341"/>
      <c r="T287" s="341"/>
      <c r="U287" s="341"/>
      <c r="V287" s="341"/>
      <c r="W287" s="341"/>
      <c r="X287" s="341"/>
      <c r="Y287" s="341"/>
      <c r="Z287" s="344"/>
      <c r="AA287" s="344"/>
      <c r="AB287" s="666"/>
      <c r="AC287" s="251"/>
      <c r="AD287" s="186"/>
      <c r="AE287" s="180"/>
      <c r="AF287" s="180"/>
      <c r="AG287" s="180"/>
      <c r="AH287" s="180"/>
      <c r="AI287" s="180"/>
      <c r="AJ287" s="180"/>
    </row>
    <row r="288" spans="1:36" ht="21" customHeight="1" thickBot="1" x14ac:dyDescent="0.45">
      <c r="A288" s="180"/>
      <c r="B288" s="341"/>
      <c r="C288" s="341"/>
      <c r="D288" s="180"/>
      <c r="E288" s="536"/>
      <c r="F288" s="536"/>
      <c r="G288" s="341"/>
      <c r="H288" s="341"/>
      <c r="I288" s="341"/>
      <c r="J288" s="341"/>
      <c r="K288" s="341"/>
      <c r="L288" s="341"/>
      <c r="M288" s="341"/>
      <c r="N288" s="341"/>
      <c r="O288" s="341"/>
      <c r="P288" s="341"/>
      <c r="Q288" s="341"/>
      <c r="R288" s="341"/>
      <c r="S288" s="341"/>
      <c r="T288" s="341"/>
      <c r="U288" s="341"/>
      <c r="V288" s="341"/>
      <c r="W288" s="341"/>
      <c r="X288" s="341"/>
      <c r="Y288" s="341"/>
      <c r="Z288" s="344"/>
      <c r="AA288" s="344"/>
      <c r="AB288" s="666"/>
      <c r="AC288" s="251"/>
      <c r="AD288" s="186"/>
      <c r="AE288" s="180"/>
      <c r="AF288" s="180"/>
      <c r="AG288" s="180"/>
      <c r="AH288" s="180"/>
      <c r="AI288" s="180"/>
      <c r="AJ288" s="180"/>
    </row>
    <row r="289" spans="1:36" ht="21" customHeight="1" thickBot="1" x14ac:dyDescent="0.45">
      <c r="A289" s="180"/>
      <c r="B289" s="341"/>
      <c r="C289" s="341"/>
      <c r="D289" s="180"/>
      <c r="E289" s="536"/>
      <c r="F289" s="536"/>
      <c r="G289" s="341"/>
      <c r="H289" s="341"/>
      <c r="I289" s="341"/>
      <c r="J289" s="341"/>
      <c r="K289" s="341"/>
      <c r="L289" s="341"/>
      <c r="M289" s="341"/>
      <c r="N289" s="341"/>
      <c r="O289" s="341"/>
      <c r="P289" s="341"/>
      <c r="Q289" s="341"/>
      <c r="R289" s="341"/>
      <c r="S289" s="341"/>
      <c r="T289" s="341"/>
      <c r="U289" s="341"/>
      <c r="V289" s="341"/>
      <c r="W289" s="341"/>
      <c r="X289" s="341"/>
      <c r="Y289" s="341"/>
      <c r="Z289" s="344"/>
      <c r="AA289" s="344"/>
      <c r="AB289" s="666"/>
      <c r="AC289" s="251"/>
      <c r="AD289" s="186"/>
      <c r="AE289" s="180"/>
      <c r="AF289" s="180"/>
      <c r="AG289" s="180"/>
      <c r="AH289" s="180"/>
      <c r="AI289" s="180"/>
      <c r="AJ289" s="180"/>
    </row>
    <row r="290" spans="1:36" ht="21" customHeight="1" thickBot="1" x14ac:dyDescent="0.45">
      <c r="A290" s="180"/>
      <c r="B290" s="341"/>
      <c r="C290" s="341"/>
      <c r="D290" s="180"/>
      <c r="E290" s="536"/>
      <c r="F290" s="536"/>
      <c r="G290" s="341"/>
      <c r="H290" s="341"/>
      <c r="I290" s="341"/>
      <c r="J290" s="341"/>
      <c r="K290" s="341"/>
      <c r="L290" s="341"/>
      <c r="M290" s="341"/>
      <c r="N290" s="341"/>
      <c r="O290" s="341"/>
      <c r="P290" s="341"/>
      <c r="Q290" s="341"/>
      <c r="R290" s="341"/>
      <c r="S290" s="341"/>
      <c r="T290" s="341"/>
      <c r="U290" s="341"/>
      <c r="V290" s="341"/>
      <c r="W290" s="341"/>
      <c r="X290" s="341"/>
      <c r="Y290" s="341"/>
      <c r="Z290" s="344"/>
      <c r="AA290" s="344"/>
      <c r="AB290" s="666"/>
      <c r="AC290" s="251"/>
      <c r="AD290" s="186"/>
      <c r="AE290" s="180"/>
      <c r="AF290" s="180"/>
      <c r="AG290" s="180"/>
      <c r="AH290" s="180"/>
      <c r="AI290" s="180"/>
      <c r="AJ290" s="180"/>
    </row>
    <row r="291" spans="1:36" ht="21" customHeight="1" thickBot="1" x14ac:dyDescent="0.45">
      <c r="A291" s="180"/>
      <c r="B291" s="341"/>
      <c r="C291" s="341"/>
      <c r="D291" s="180"/>
      <c r="E291" s="536"/>
      <c r="F291" s="536"/>
      <c r="G291" s="341"/>
      <c r="H291" s="341"/>
      <c r="I291" s="341"/>
      <c r="J291" s="341"/>
      <c r="K291" s="341"/>
      <c r="L291" s="341"/>
      <c r="M291" s="341"/>
      <c r="N291" s="341"/>
      <c r="O291" s="341"/>
      <c r="P291" s="341"/>
      <c r="Q291" s="341"/>
      <c r="R291" s="341"/>
      <c r="S291" s="341"/>
      <c r="T291" s="341"/>
      <c r="U291" s="341"/>
      <c r="V291" s="341"/>
      <c r="W291" s="341"/>
      <c r="X291" s="341"/>
      <c r="Y291" s="341"/>
      <c r="Z291" s="344"/>
      <c r="AA291" s="344"/>
      <c r="AB291" s="666"/>
      <c r="AC291" s="251"/>
      <c r="AD291" s="186"/>
      <c r="AE291" s="180"/>
      <c r="AF291" s="180"/>
      <c r="AG291" s="180"/>
      <c r="AH291" s="180"/>
      <c r="AI291" s="180"/>
      <c r="AJ291" s="180"/>
    </row>
    <row r="292" spans="1:36" ht="21" customHeight="1" thickBot="1" x14ac:dyDescent="0.45">
      <c r="A292" s="180"/>
      <c r="B292" s="341"/>
      <c r="C292" s="341"/>
      <c r="D292" s="180"/>
      <c r="E292" s="536"/>
      <c r="F292" s="536"/>
      <c r="G292" s="341"/>
      <c r="H292" s="341"/>
      <c r="I292" s="341"/>
      <c r="J292" s="341"/>
      <c r="K292" s="341"/>
      <c r="L292" s="341"/>
      <c r="M292" s="341"/>
      <c r="N292" s="341"/>
      <c r="O292" s="341"/>
      <c r="P292" s="341"/>
      <c r="Q292" s="341"/>
      <c r="R292" s="341"/>
      <c r="S292" s="341"/>
      <c r="T292" s="341"/>
      <c r="U292" s="341"/>
      <c r="V292" s="341"/>
      <c r="W292" s="341"/>
      <c r="X292" s="341"/>
      <c r="Y292" s="341"/>
      <c r="Z292" s="344"/>
      <c r="AA292" s="344"/>
      <c r="AB292" s="666"/>
      <c r="AC292" s="251"/>
      <c r="AD292" s="186"/>
      <c r="AE292" s="180"/>
      <c r="AF292" s="180"/>
      <c r="AG292" s="180"/>
      <c r="AH292" s="180"/>
      <c r="AI292" s="180"/>
      <c r="AJ292" s="180"/>
    </row>
    <row r="293" spans="1:36" ht="21" customHeight="1" thickBot="1" x14ac:dyDescent="0.45">
      <c r="A293" s="180"/>
      <c r="B293" s="341"/>
      <c r="C293" s="341"/>
      <c r="D293" s="180"/>
      <c r="E293" s="536"/>
      <c r="F293" s="536"/>
      <c r="G293" s="341"/>
      <c r="H293" s="341"/>
      <c r="I293" s="341"/>
      <c r="J293" s="341"/>
      <c r="K293" s="341"/>
      <c r="L293" s="341"/>
      <c r="M293" s="341"/>
      <c r="N293" s="341"/>
      <c r="O293" s="341"/>
      <c r="P293" s="341"/>
      <c r="Q293" s="341"/>
      <c r="R293" s="341"/>
      <c r="S293" s="341"/>
      <c r="T293" s="341"/>
      <c r="U293" s="341"/>
      <c r="V293" s="341"/>
      <c r="W293" s="341"/>
      <c r="X293" s="341"/>
      <c r="Y293" s="341"/>
      <c r="Z293" s="344"/>
      <c r="AA293" s="344"/>
      <c r="AB293" s="666"/>
      <c r="AC293" s="251"/>
      <c r="AD293" s="186"/>
      <c r="AE293" s="180"/>
      <c r="AF293" s="180"/>
      <c r="AG293" s="180"/>
      <c r="AH293" s="180"/>
      <c r="AI293" s="180"/>
      <c r="AJ293" s="180"/>
    </row>
    <row r="294" spans="1:36" ht="21" customHeight="1" thickBot="1" x14ac:dyDescent="0.45">
      <c r="A294" s="180"/>
      <c r="B294" s="341"/>
      <c r="C294" s="341"/>
      <c r="D294" s="180"/>
      <c r="E294" s="536"/>
      <c r="F294" s="536"/>
      <c r="G294" s="341"/>
      <c r="H294" s="341"/>
      <c r="I294" s="341"/>
      <c r="J294" s="341"/>
      <c r="K294" s="341"/>
      <c r="L294" s="341"/>
      <c r="M294" s="341"/>
      <c r="N294" s="341"/>
      <c r="O294" s="341"/>
      <c r="P294" s="341"/>
      <c r="Q294" s="341"/>
      <c r="R294" s="341"/>
      <c r="S294" s="341"/>
      <c r="T294" s="341"/>
      <c r="U294" s="341"/>
      <c r="V294" s="341"/>
      <c r="W294" s="341"/>
      <c r="X294" s="341"/>
      <c r="Y294" s="341"/>
      <c r="Z294" s="344"/>
      <c r="AA294" s="344"/>
      <c r="AB294" s="666"/>
      <c r="AC294" s="251"/>
      <c r="AD294" s="186"/>
      <c r="AE294" s="180"/>
      <c r="AF294" s="180"/>
      <c r="AG294" s="180"/>
      <c r="AH294" s="180"/>
      <c r="AI294" s="180"/>
      <c r="AJ294" s="180"/>
    </row>
    <row r="295" spans="1:36" ht="21" customHeight="1" thickBot="1" x14ac:dyDescent="0.45">
      <c r="A295" s="180"/>
      <c r="B295" s="341"/>
      <c r="C295" s="341"/>
      <c r="D295" s="180"/>
      <c r="E295" s="536"/>
      <c r="F295" s="536"/>
      <c r="G295" s="341"/>
      <c r="H295" s="341"/>
      <c r="I295" s="341"/>
      <c r="J295" s="341"/>
      <c r="K295" s="341"/>
      <c r="L295" s="341"/>
      <c r="M295" s="341"/>
      <c r="N295" s="341"/>
      <c r="O295" s="341"/>
      <c r="P295" s="341"/>
      <c r="Q295" s="341"/>
      <c r="R295" s="341"/>
      <c r="S295" s="341"/>
      <c r="T295" s="341"/>
      <c r="U295" s="341"/>
      <c r="V295" s="341"/>
      <c r="W295" s="341"/>
      <c r="X295" s="341"/>
      <c r="Y295" s="341"/>
      <c r="Z295" s="344"/>
      <c r="AA295" s="344"/>
      <c r="AB295" s="666"/>
      <c r="AC295" s="251"/>
      <c r="AD295" s="186"/>
      <c r="AE295" s="180"/>
      <c r="AF295" s="180"/>
      <c r="AG295" s="180"/>
      <c r="AH295" s="180"/>
      <c r="AI295" s="180"/>
      <c r="AJ295" s="180"/>
    </row>
    <row r="296" spans="1:36" ht="21" customHeight="1" thickBot="1" x14ac:dyDescent="0.45">
      <c r="A296" s="180"/>
      <c r="B296" s="341"/>
      <c r="C296" s="341"/>
      <c r="D296" s="180"/>
      <c r="E296" s="536"/>
      <c r="F296" s="536"/>
      <c r="G296" s="341"/>
      <c r="H296" s="341"/>
      <c r="I296" s="341"/>
      <c r="J296" s="341"/>
      <c r="K296" s="341"/>
      <c r="L296" s="341"/>
      <c r="M296" s="341"/>
      <c r="N296" s="341"/>
      <c r="O296" s="341"/>
      <c r="P296" s="341"/>
      <c r="Q296" s="341"/>
      <c r="R296" s="341"/>
      <c r="S296" s="341"/>
      <c r="T296" s="341"/>
      <c r="U296" s="341"/>
      <c r="V296" s="341"/>
      <c r="W296" s="341"/>
      <c r="X296" s="341"/>
      <c r="Y296" s="341"/>
      <c r="Z296" s="344"/>
      <c r="AA296" s="344"/>
      <c r="AB296" s="666"/>
      <c r="AC296" s="251"/>
      <c r="AD296" s="186"/>
      <c r="AE296" s="180"/>
      <c r="AF296" s="180"/>
      <c r="AG296" s="180"/>
      <c r="AH296" s="180"/>
      <c r="AI296" s="180"/>
      <c r="AJ296" s="180"/>
    </row>
    <row r="297" spans="1:36" ht="21" customHeight="1" thickBot="1" x14ac:dyDescent="0.45">
      <c r="A297" s="180"/>
      <c r="B297" s="341"/>
      <c r="C297" s="341"/>
      <c r="D297" s="180"/>
      <c r="E297" s="536"/>
      <c r="F297" s="536"/>
      <c r="G297" s="341"/>
      <c r="H297" s="341"/>
      <c r="I297" s="341"/>
      <c r="J297" s="341"/>
      <c r="K297" s="341"/>
      <c r="L297" s="341"/>
      <c r="M297" s="341"/>
      <c r="N297" s="341"/>
      <c r="O297" s="341"/>
      <c r="P297" s="341"/>
      <c r="Q297" s="341"/>
      <c r="R297" s="341"/>
      <c r="S297" s="341"/>
      <c r="T297" s="341"/>
      <c r="U297" s="341"/>
      <c r="V297" s="341"/>
      <c r="W297" s="341"/>
      <c r="X297" s="341"/>
      <c r="Y297" s="341"/>
      <c r="Z297" s="344"/>
      <c r="AA297" s="344"/>
      <c r="AB297" s="666"/>
      <c r="AC297" s="251"/>
      <c r="AD297" s="186"/>
      <c r="AE297" s="180"/>
      <c r="AF297" s="180"/>
      <c r="AG297" s="180"/>
      <c r="AH297" s="180"/>
      <c r="AI297" s="180"/>
      <c r="AJ297" s="180"/>
    </row>
    <row r="298" spans="1:36" ht="21" customHeight="1" thickBot="1" x14ac:dyDescent="0.45">
      <c r="A298" s="180"/>
      <c r="B298" s="341"/>
      <c r="C298" s="341"/>
      <c r="D298" s="180"/>
      <c r="E298" s="536"/>
      <c r="F298" s="536"/>
      <c r="G298" s="341"/>
      <c r="H298" s="341"/>
      <c r="I298" s="341"/>
      <c r="J298" s="341"/>
      <c r="K298" s="341"/>
      <c r="L298" s="341"/>
      <c r="M298" s="341"/>
      <c r="N298" s="341"/>
      <c r="O298" s="341"/>
      <c r="P298" s="341"/>
      <c r="Q298" s="341"/>
      <c r="R298" s="341"/>
      <c r="S298" s="341"/>
      <c r="T298" s="341"/>
      <c r="U298" s="341"/>
      <c r="V298" s="341"/>
      <c r="W298" s="341"/>
      <c r="X298" s="341"/>
      <c r="Y298" s="341"/>
      <c r="Z298" s="344"/>
      <c r="AA298" s="344"/>
      <c r="AB298" s="666"/>
      <c r="AC298" s="251"/>
      <c r="AD298" s="186"/>
      <c r="AE298" s="180"/>
      <c r="AF298" s="180"/>
      <c r="AG298" s="180"/>
      <c r="AH298" s="180"/>
      <c r="AI298" s="180"/>
      <c r="AJ298" s="180"/>
    </row>
    <row r="299" spans="1:36" ht="21" customHeight="1" thickBot="1" x14ac:dyDescent="0.45">
      <c r="A299" s="180"/>
      <c r="B299" s="341"/>
      <c r="C299" s="341"/>
      <c r="D299" s="180"/>
      <c r="E299" s="536"/>
      <c r="F299" s="536"/>
      <c r="G299" s="341"/>
      <c r="H299" s="341"/>
      <c r="I299" s="341"/>
      <c r="J299" s="341"/>
      <c r="K299" s="341"/>
      <c r="L299" s="341"/>
      <c r="M299" s="341"/>
      <c r="N299" s="341"/>
      <c r="O299" s="341"/>
      <c r="P299" s="341"/>
      <c r="Q299" s="341"/>
      <c r="R299" s="341"/>
      <c r="S299" s="341"/>
      <c r="T299" s="341"/>
      <c r="U299" s="341"/>
      <c r="V299" s="341"/>
      <c r="W299" s="341"/>
      <c r="X299" s="341"/>
      <c r="Y299" s="341"/>
      <c r="Z299" s="344"/>
      <c r="AA299" s="344"/>
      <c r="AB299" s="666"/>
      <c r="AC299" s="251"/>
      <c r="AD299" s="186"/>
      <c r="AE299" s="180"/>
      <c r="AF299" s="180"/>
      <c r="AG299" s="180"/>
      <c r="AH299" s="180"/>
      <c r="AI299" s="180"/>
      <c r="AJ299" s="180"/>
    </row>
    <row r="300" spans="1:36" ht="21" customHeight="1" thickBot="1" x14ac:dyDescent="0.45">
      <c r="A300" s="180"/>
      <c r="B300" s="341"/>
      <c r="C300" s="341"/>
      <c r="D300" s="180"/>
      <c r="E300" s="536"/>
      <c r="F300" s="536"/>
      <c r="G300" s="341"/>
      <c r="H300" s="341"/>
      <c r="I300" s="341"/>
      <c r="J300" s="341"/>
      <c r="K300" s="341"/>
      <c r="L300" s="341"/>
      <c r="M300" s="341"/>
      <c r="N300" s="341"/>
      <c r="O300" s="341"/>
      <c r="P300" s="341"/>
      <c r="Q300" s="341"/>
      <c r="R300" s="341"/>
      <c r="S300" s="341"/>
      <c r="T300" s="341"/>
      <c r="U300" s="341"/>
      <c r="V300" s="341"/>
      <c r="W300" s="341"/>
      <c r="X300" s="341"/>
      <c r="Y300" s="341"/>
      <c r="Z300" s="344"/>
      <c r="AA300" s="344"/>
      <c r="AB300" s="666"/>
      <c r="AC300" s="251"/>
      <c r="AD300" s="186"/>
      <c r="AE300" s="180"/>
      <c r="AF300" s="180"/>
      <c r="AG300" s="180"/>
      <c r="AH300" s="180"/>
      <c r="AI300" s="180"/>
      <c r="AJ300" s="180"/>
    </row>
    <row r="301" spans="1:36" ht="21" customHeight="1" thickBot="1" x14ac:dyDescent="0.45">
      <c r="A301" s="180"/>
      <c r="B301" s="341"/>
      <c r="C301" s="341"/>
      <c r="D301" s="180"/>
      <c r="E301" s="536"/>
      <c r="F301" s="536"/>
      <c r="G301" s="341"/>
      <c r="H301" s="341"/>
      <c r="I301" s="341"/>
      <c r="J301" s="341"/>
      <c r="K301" s="341"/>
      <c r="L301" s="341"/>
      <c r="M301" s="341"/>
      <c r="N301" s="341"/>
      <c r="O301" s="341"/>
      <c r="P301" s="341"/>
      <c r="Q301" s="341"/>
      <c r="R301" s="341"/>
      <c r="S301" s="341"/>
      <c r="T301" s="341"/>
      <c r="U301" s="341"/>
      <c r="V301" s="341"/>
      <c r="W301" s="341"/>
      <c r="X301" s="341"/>
      <c r="Y301" s="341"/>
      <c r="Z301" s="344"/>
      <c r="AA301" s="344"/>
      <c r="AB301" s="666"/>
      <c r="AC301" s="251"/>
      <c r="AD301" s="186"/>
      <c r="AE301" s="180"/>
      <c r="AF301" s="180"/>
      <c r="AG301" s="180"/>
      <c r="AH301" s="180"/>
      <c r="AI301" s="180"/>
      <c r="AJ301" s="180"/>
    </row>
    <row r="302" spans="1:36" ht="21" customHeight="1" thickBot="1" x14ac:dyDescent="0.45">
      <c r="A302" s="180"/>
      <c r="B302" s="341"/>
      <c r="C302" s="341"/>
      <c r="D302" s="180"/>
      <c r="E302" s="536"/>
      <c r="F302" s="536"/>
      <c r="G302" s="341"/>
      <c r="H302" s="341"/>
      <c r="I302" s="341"/>
      <c r="J302" s="341"/>
      <c r="K302" s="341"/>
      <c r="L302" s="341"/>
      <c r="M302" s="341"/>
      <c r="N302" s="341"/>
      <c r="O302" s="341"/>
      <c r="P302" s="341"/>
      <c r="Q302" s="341"/>
      <c r="R302" s="341"/>
      <c r="S302" s="341"/>
      <c r="T302" s="341"/>
      <c r="U302" s="341"/>
      <c r="V302" s="341"/>
      <c r="W302" s="341"/>
      <c r="X302" s="341"/>
      <c r="Y302" s="341"/>
      <c r="Z302" s="344"/>
      <c r="AA302" s="344"/>
      <c r="AB302" s="666"/>
      <c r="AC302" s="251"/>
      <c r="AD302" s="186"/>
      <c r="AE302" s="180"/>
      <c r="AF302" s="180"/>
      <c r="AG302" s="180"/>
      <c r="AH302" s="180"/>
      <c r="AI302" s="180"/>
      <c r="AJ302" s="180"/>
    </row>
    <row r="303" spans="1:36" ht="21" customHeight="1" thickBot="1" x14ac:dyDescent="0.45">
      <c r="A303" s="180"/>
      <c r="B303" s="341"/>
      <c r="C303" s="341"/>
      <c r="D303" s="180"/>
      <c r="E303" s="536"/>
      <c r="F303" s="536"/>
      <c r="G303" s="341"/>
      <c r="H303" s="341"/>
      <c r="I303" s="341"/>
      <c r="J303" s="341"/>
      <c r="K303" s="341"/>
      <c r="L303" s="341"/>
      <c r="M303" s="341"/>
      <c r="N303" s="341"/>
      <c r="O303" s="341"/>
      <c r="P303" s="341"/>
      <c r="Q303" s="341"/>
      <c r="R303" s="341"/>
      <c r="S303" s="341"/>
      <c r="T303" s="341"/>
      <c r="U303" s="341"/>
      <c r="V303" s="341"/>
      <c r="W303" s="341"/>
      <c r="X303" s="341"/>
      <c r="Y303" s="341"/>
      <c r="Z303" s="344"/>
      <c r="AA303" s="344"/>
      <c r="AB303" s="666"/>
      <c r="AC303" s="251"/>
      <c r="AD303" s="186"/>
      <c r="AE303" s="180"/>
      <c r="AF303" s="180"/>
      <c r="AG303" s="180"/>
      <c r="AH303" s="180"/>
      <c r="AI303" s="180"/>
      <c r="AJ303" s="180"/>
    </row>
    <row r="304" spans="1:36" ht="21" customHeight="1" thickBot="1" x14ac:dyDescent="0.45">
      <c r="A304" s="180"/>
      <c r="B304" s="341"/>
      <c r="C304" s="341"/>
      <c r="D304" s="180"/>
      <c r="E304" s="536"/>
      <c r="F304" s="536"/>
      <c r="G304" s="341"/>
      <c r="H304" s="341"/>
      <c r="I304" s="341"/>
      <c r="J304" s="341"/>
      <c r="K304" s="341"/>
      <c r="L304" s="341"/>
      <c r="M304" s="341"/>
      <c r="N304" s="341"/>
      <c r="O304" s="341"/>
      <c r="P304" s="341"/>
      <c r="Q304" s="341"/>
      <c r="R304" s="341"/>
      <c r="S304" s="341"/>
      <c r="T304" s="341"/>
      <c r="U304" s="341"/>
      <c r="V304" s="341"/>
      <c r="W304" s="341"/>
      <c r="X304" s="341"/>
      <c r="Y304" s="341"/>
      <c r="Z304" s="344"/>
      <c r="AA304" s="344"/>
      <c r="AB304" s="666"/>
      <c r="AC304" s="251"/>
      <c r="AD304" s="186"/>
      <c r="AE304" s="180"/>
      <c r="AF304" s="180"/>
      <c r="AG304" s="180"/>
      <c r="AH304" s="180"/>
      <c r="AI304" s="180"/>
      <c r="AJ304" s="180"/>
    </row>
    <row r="305" spans="1:36" ht="21" customHeight="1" thickBot="1" x14ac:dyDescent="0.45">
      <c r="A305" s="180"/>
      <c r="B305" s="341"/>
      <c r="C305" s="341"/>
      <c r="D305" s="180"/>
      <c r="E305" s="536"/>
      <c r="F305" s="536"/>
      <c r="G305" s="341"/>
      <c r="H305" s="341"/>
      <c r="I305" s="341"/>
      <c r="J305" s="341"/>
      <c r="K305" s="341"/>
      <c r="L305" s="341"/>
      <c r="M305" s="341"/>
      <c r="N305" s="341"/>
      <c r="O305" s="341"/>
      <c r="P305" s="341"/>
      <c r="Q305" s="341"/>
      <c r="R305" s="341"/>
      <c r="S305" s="341"/>
      <c r="T305" s="341"/>
      <c r="U305" s="341"/>
      <c r="V305" s="341"/>
      <c r="W305" s="341"/>
      <c r="X305" s="341"/>
      <c r="Y305" s="341"/>
      <c r="Z305" s="344"/>
      <c r="AA305" s="344"/>
      <c r="AB305" s="666"/>
      <c r="AC305" s="251"/>
      <c r="AD305" s="186"/>
      <c r="AE305" s="180"/>
      <c r="AF305" s="180"/>
      <c r="AG305" s="180"/>
      <c r="AH305" s="180"/>
      <c r="AI305" s="180"/>
      <c r="AJ305" s="180"/>
    </row>
    <row r="306" spans="1:36" ht="21" customHeight="1" thickBot="1" x14ac:dyDescent="0.45">
      <c r="A306" s="180"/>
      <c r="B306" s="341"/>
      <c r="C306" s="341"/>
      <c r="D306" s="180"/>
      <c r="E306" s="536"/>
      <c r="F306" s="536"/>
      <c r="G306" s="341"/>
      <c r="H306" s="341"/>
      <c r="I306" s="341"/>
      <c r="J306" s="341"/>
      <c r="K306" s="341"/>
      <c r="L306" s="341"/>
      <c r="M306" s="341"/>
      <c r="N306" s="341"/>
      <c r="O306" s="341"/>
      <c r="P306" s="341"/>
      <c r="Q306" s="341"/>
      <c r="R306" s="341"/>
      <c r="S306" s="341"/>
      <c r="T306" s="341"/>
      <c r="U306" s="341"/>
      <c r="V306" s="341"/>
      <c r="W306" s="341"/>
      <c r="X306" s="341"/>
      <c r="Y306" s="341"/>
      <c r="Z306" s="344"/>
      <c r="AA306" s="344"/>
      <c r="AB306" s="666"/>
      <c r="AC306" s="251"/>
      <c r="AD306" s="186"/>
      <c r="AE306" s="180"/>
      <c r="AF306" s="180"/>
      <c r="AG306" s="180"/>
      <c r="AH306" s="180"/>
      <c r="AI306" s="180"/>
      <c r="AJ306" s="180"/>
    </row>
    <row r="307" spans="1:36" ht="21" customHeight="1" thickBot="1" x14ac:dyDescent="0.45">
      <c r="A307" s="180"/>
      <c r="B307" s="341"/>
      <c r="C307" s="341"/>
      <c r="D307" s="180"/>
      <c r="E307" s="536"/>
      <c r="F307" s="536"/>
      <c r="G307" s="341"/>
      <c r="H307" s="341"/>
      <c r="I307" s="341"/>
      <c r="J307" s="341"/>
      <c r="K307" s="341"/>
      <c r="L307" s="341"/>
      <c r="M307" s="341"/>
      <c r="N307" s="341"/>
      <c r="O307" s="341"/>
      <c r="P307" s="341"/>
      <c r="Q307" s="341"/>
      <c r="R307" s="341"/>
      <c r="S307" s="341"/>
      <c r="T307" s="341"/>
      <c r="U307" s="341"/>
      <c r="V307" s="341"/>
      <c r="W307" s="341"/>
      <c r="X307" s="341"/>
      <c r="Y307" s="341"/>
      <c r="Z307" s="344"/>
      <c r="AA307" s="344"/>
      <c r="AB307" s="666"/>
      <c r="AC307" s="251"/>
      <c r="AD307" s="186"/>
      <c r="AE307" s="180"/>
      <c r="AF307" s="180"/>
      <c r="AG307" s="180"/>
      <c r="AH307" s="180"/>
      <c r="AI307" s="180"/>
      <c r="AJ307" s="180"/>
    </row>
    <row r="308" spans="1:36" ht="21" customHeight="1" thickBot="1" x14ac:dyDescent="0.45">
      <c r="A308" s="180"/>
      <c r="B308" s="341"/>
      <c r="C308" s="341"/>
      <c r="D308" s="180"/>
      <c r="E308" s="536"/>
      <c r="F308" s="536"/>
      <c r="G308" s="341"/>
      <c r="H308" s="341"/>
      <c r="I308" s="341"/>
      <c r="J308" s="341"/>
      <c r="K308" s="341"/>
      <c r="L308" s="341"/>
      <c r="M308" s="341"/>
      <c r="N308" s="341"/>
      <c r="O308" s="341"/>
      <c r="P308" s="341"/>
      <c r="Q308" s="341"/>
      <c r="R308" s="341"/>
      <c r="S308" s="341"/>
      <c r="T308" s="341"/>
      <c r="U308" s="341"/>
      <c r="V308" s="341"/>
      <c r="W308" s="341"/>
      <c r="X308" s="341"/>
      <c r="Y308" s="341"/>
      <c r="Z308" s="344"/>
      <c r="AA308" s="344"/>
      <c r="AB308" s="666"/>
      <c r="AC308" s="251"/>
      <c r="AD308" s="186"/>
      <c r="AE308" s="180"/>
      <c r="AF308" s="180"/>
      <c r="AG308" s="180"/>
      <c r="AH308" s="180"/>
      <c r="AI308" s="180"/>
      <c r="AJ308" s="180"/>
    </row>
    <row r="309" spans="1:36" ht="21" customHeight="1" thickBot="1" x14ac:dyDescent="0.45">
      <c r="A309" s="180"/>
      <c r="B309" s="341"/>
      <c r="C309" s="341"/>
      <c r="D309" s="180"/>
      <c r="E309" s="536"/>
      <c r="F309" s="536"/>
      <c r="G309" s="341"/>
      <c r="H309" s="341"/>
      <c r="I309" s="341"/>
      <c r="J309" s="341"/>
      <c r="K309" s="341"/>
      <c r="L309" s="341"/>
      <c r="M309" s="341"/>
      <c r="N309" s="341"/>
      <c r="O309" s="341"/>
      <c r="P309" s="341"/>
      <c r="Q309" s="341"/>
      <c r="R309" s="341"/>
      <c r="S309" s="341"/>
      <c r="T309" s="341"/>
      <c r="U309" s="341"/>
      <c r="V309" s="341"/>
      <c r="W309" s="341"/>
      <c r="X309" s="341"/>
      <c r="Y309" s="341"/>
      <c r="Z309" s="344"/>
      <c r="AA309" s="344"/>
      <c r="AB309" s="666"/>
      <c r="AC309" s="251"/>
      <c r="AD309" s="186"/>
      <c r="AE309" s="180"/>
      <c r="AF309" s="180"/>
      <c r="AG309" s="180"/>
      <c r="AH309" s="180"/>
      <c r="AI309" s="180"/>
      <c r="AJ309" s="180"/>
    </row>
    <row r="310" spans="1:36" ht="21" customHeight="1" thickBot="1" x14ac:dyDescent="0.45">
      <c r="A310" s="180"/>
      <c r="B310" s="341"/>
      <c r="C310" s="341"/>
      <c r="D310" s="180"/>
      <c r="E310" s="536"/>
      <c r="F310" s="536"/>
      <c r="G310" s="341"/>
      <c r="H310" s="341"/>
      <c r="I310" s="341"/>
      <c r="J310" s="341"/>
      <c r="K310" s="341"/>
      <c r="L310" s="341"/>
      <c r="M310" s="341"/>
      <c r="N310" s="341"/>
      <c r="O310" s="341"/>
      <c r="P310" s="341"/>
      <c r="Q310" s="341"/>
      <c r="R310" s="341"/>
      <c r="S310" s="341"/>
      <c r="T310" s="341"/>
      <c r="U310" s="341"/>
      <c r="V310" s="341"/>
      <c r="W310" s="341"/>
      <c r="X310" s="341"/>
      <c r="Y310" s="341"/>
      <c r="Z310" s="344"/>
      <c r="AA310" s="344"/>
      <c r="AB310" s="666"/>
      <c r="AC310" s="251"/>
      <c r="AD310" s="186"/>
      <c r="AE310" s="180"/>
      <c r="AF310" s="180"/>
      <c r="AG310" s="180"/>
      <c r="AH310" s="180"/>
      <c r="AI310" s="180"/>
      <c r="AJ310" s="180"/>
    </row>
    <row r="311" spans="1:36" ht="21" customHeight="1" thickBot="1" x14ac:dyDescent="0.45">
      <c r="A311" s="180"/>
      <c r="B311" s="341"/>
      <c r="C311" s="341"/>
      <c r="D311" s="180"/>
      <c r="E311" s="536"/>
      <c r="F311" s="536"/>
      <c r="G311" s="341"/>
      <c r="H311" s="341"/>
      <c r="I311" s="341"/>
      <c r="J311" s="341"/>
      <c r="K311" s="341"/>
      <c r="L311" s="341"/>
      <c r="M311" s="341"/>
      <c r="N311" s="341"/>
      <c r="O311" s="341"/>
      <c r="P311" s="341"/>
      <c r="Q311" s="341"/>
      <c r="R311" s="341"/>
      <c r="S311" s="341"/>
      <c r="T311" s="341"/>
      <c r="U311" s="341"/>
      <c r="V311" s="341"/>
      <c r="W311" s="341"/>
      <c r="X311" s="341"/>
      <c r="Y311" s="341"/>
      <c r="Z311" s="344"/>
      <c r="AA311" s="344"/>
      <c r="AB311" s="666"/>
      <c r="AC311" s="251"/>
      <c r="AD311" s="186"/>
      <c r="AE311" s="180"/>
      <c r="AF311" s="180"/>
      <c r="AG311" s="180"/>
      <c r="AH311" s="180"/>
      <c r="AI311" s="180"/>
      <c r="AJ311" s="180"/>
    </row>
    <row r="312" spans="1:36" ht="21" customHeight="1" thickBot="1" x14ac:dyDescent="0.45">
      <c r="A312" s="180"/>
      <c r="B312" s="341"/>
      <c r="C312" s="341"/>
      <c r="D312" s="180"/>
      <c r="E312" s="536"/>
      <c r="F312" s="536"/>
      <c r="G312" s="341"/>
      <c r="H312" s="341"/>
      <c r="I312" s="341"/>
      <c r="J312" s="341"/>
      <c r="K312" s="341"/>
      <c r="L312" s="341"/>
      <c r="M312" s="341"/>
      <c r="N312" s="341"/>
      <c r="O312" s="341"/>
      <c r="P312" s="341"/>
      <c r="Q312" s="341"/>
      <c r="R312" s="341"/>
      <c r="S312" s="341"/>
      <c r="T312" s="341"/>
      <c r="U312" s="341"/>
      <c r="V312" s="341"/>
      <c r="W312" s="341"/>
      <c r="X312" s="341"/>
      <c r="Y312" s="341"/>
      <c r="Z312" s="344"/>
      <c r="AA312" s="344"/>
      <c r="AB312" s="666"/>
      <c r="AC312" s="251"/>
      <c r="AD312" s="186"/>
      <c r="AE312" s="180"/>
      <c r="AF312" s="180"/>
      <c r="AG312" s="180"/>
      <c r="AH312" s="180"/>
      <c r="AI312" s="180"/>
      <c r="AJ312" s="180"/>
    </row>
    <row r="313" spans="1:36" ht="21" customHeight="1" thickBot="1" x14ac:dyDescent="0.45">
      <c r="A313" s="180"/>
      <c r="B313" s="341"/>
      <c r="C313" s="341"/>
      <c r="D313" s="180"/>
      <c r="E313" s="536"/>
      <c r="F313" s="536"/>
      <c r="G313" s="341"/>
      <c r="H313" s="341"/>
      <c r="I313" s="341"/>
      <c r="J313" s="341"/>
      <c r="K313" s="341"/>
      <c r="L313" s="341"/>
      <c r="M313" s="341"/>
      <c r="N313" s="341"/>
      <c r="O313" s="341"/>
      <c r="P313" s="341"/>
      <c r="Q313" s="341"/>
      <c r="R313" s="341"/>
      <c r="S313" s="341"/>
      <c r="T313" s="341"/>
      <c r="U313" s="341"/>
      <c r="V313" s="341"/>
      <c r="W313" s="341"/>
      <c r="X313" s="341"/>
      <c r="Y313" s="341"/>
      <c r="Z313" s="344"/>
      <c r="AA313" s="344"/>
      <c r="AB313" s="666"/>
      <c r="AC313" s="251"/>
      <c r="AD313" s="186"/>
      <c r="AE313" s="180"/>
      <c r="AF313" s="180"/>
      <c r="AG313" s="180"/>
      <c r="AH313" s="180"/>
      <c r="AI313" s="180"/>
      <c r="AJ313" s="180"/>
    </row>
    <row r="314" spans="1:36" ht="21" customHeight="1" thickBot="1" x14ac:dyDescent="0.45">
      <c r="A314" s="180"/>
      <c r="B314" s="341"/>
      <c r="C314" s="341"/>
      <c r="D314" s="180"/>
      <c r="E314" s="536"/>
      <c r="F314" s="536"/>
      <c r="G314" s="341"/>
      <c r="H314" s="341"/>
      <c r="I314" s="341"/>
      <c r="J314" s="341"/>
      <c r="K314" s="341"/>
      <c r="L314" s="341"/>
      <c r="M314" s="341"/>
      <c r="N314" s="341"/>
      <c r="O314" s="341"/>
      <c r="P314" s="341"/>
      <c r="Q314" s="341"/>
      <c r="R314" s="341"/>
      <c r="S314" s="341"/>
      <c r="T314" s="341"/>
      <c r="U314" s="341"/>
      <c r="V314" s="341"/>
      <c r="W314" s="341"/>
      <c r="X314" s="341"/>
      <c r="Y314" s="341"/>
      <c r="Z314" s="344"/>
      <c r="AA314" s="344"/>
      <c r="AB314" s="666"/>
      <c r="AC314" s="251"/>
      <c r="AD314" s="186"/>
      <c r="AE314" s="180"/>
      <c r="AF314" s="180"/>
      <c r="AG314" s="180"/>
      <c r="AH314" s="180"/>
      <c r="AI314" s="180"/>
      <c r="AJ314" s="180"/>
    </row>
    <row r="315" spans="1:36" ht="21" customHeight="1" thickBot="1" x14ac:dyDescent="0.45">
      <c r="A315" s="180"/>
      <c r="B315" s="341"/>
      <c r="C315" s="341"/>
      <c r="D315" s="180"/>
      <c r="E315" s="536"/>
      <c r="F315" s="536"/>
      <c r="G315" s="341"/>
      <c r="H315" s="341"/>
      <c r="I315" s="341"/>
      <c r="J315" s="341"/>
      <c r="K315" s="341"/>
      <c r="L315" s="341"/>
      <c r="M315" s="341"/>
      <c r="N315" s="341"/>
      <c r="O315" s="341"/>
      <c r="P315" s="341"/>
      <c r="Q315" s="341"/>
      <c r="R315" s="341"/>
      <c r="S315" s="341"/>
      <c r="T315" s="341"/>
      <c r="U315" s="341"/>
      <c r="V315" s="341"/>
      <c r="W315" s="341"/>
      <c r="X315" s="341"/>
      <c r="Y315" s="341"/>
      <c r="Z315" s="344"/>
      <c r="AA315" s="344"/>
      <c r="AB315" s="666"/>
      <c r="AC315" s="251"/>
      <c r="AD315" s="186"/>
      <c r="AE315" s="180"/>
      <c r="AF315" s="180"/>
      <c r="AG315" s="180"/>
      <c r="AH315" s="180"/>
      <c r="AI315" s="180"/>
      <c r="AJ315" s="180"/>
    </row>
    <row r="316" spans="1:36" ht="21" customHeight="1" thickBot="1" x14ac:dyDescent="0.45">
      <c r="A316" s="180"/>
      <c r="B316" s="341"/>
      <c r="C316" s="341"/>
      <c r="D316" s="180"/>
      <c r="E316" s="536"/>
      <c r="F316" s="536"/>
      <c r="G316" s="341"/>
      <c r="H316" s="341"/>
      <c r="I316" s="341"/>
      <c r="J316" s="341"/>
      <c r="K316" s="341"/>
      <c r="L316" s="341"/>
      <c r="M316" s="341"/>
      <c r="N316" s="341"/>
      <c r="O316" s="341"/>
      <c r="P316" s="341"/>
      <c r="Q316" s="341"/>
      <c r="R316" s="341"/>
      <c r="S316" s="341"/>
      <c r="T316" s="341"/>
      <c r="U316" s="341"/>
      <c r="V316" s="341"/>
      <c r="W316" s="341"/>
      <c r="X316" s="341"/>
      <c r="Y316" s="341"/>
      <c r="Z316" s="344"/>
      <c r="AA316" s="344"/>
      <c r="AB316" s="666"/>
      <c r="AC316" s="251"/>
      <c r="AD316" s="186"/>
      <c r="AE316" s="180"/>
      <c r="AF316" s="180"/>
      <c r="AG316" s="180"/>
      <c r="AH316" s="180"/>
      <c r="AI316" s="180"/>
      <c r="AJ316" s="180"/>
    </row>
    <row r="317" spans="1:36" ht="21" customHeight="1" thickBot="1" x14ac:dyDescent="0.45">
      <c r="A317" s="180"/>
      <c r="B317" s="341"/>
      <c r="C317" s="341"/>
      <c r="D317" s="180"/>
      <c r="E317" s="536"/>
      <c r="F317" s="536"/>
      <c r="G317" s="341"/>
      <c r="H317" s="341"/>
      <c r="I317" s="341"/>
      <c r="J317" s="341"/>
      <c r="K317" s="341"/>
      <c r="L317" s="341"/>
      <c r="M317" s="341"/>
      <c r="N317" s="341"/>
      <c r="O317" s="341"/>
      <c r="P317" s="341"/>
      <c r="Q317" s="341"/>
      <c r="R317" s="341"/>
      <c r="S317" s="341"/>
      <c r="T317" s="341"/>
      <c r="U317" s="341"/>
      <c r="V317" s="341"/>
      <c r="W317" s="341"/>
      <c r="X317" s="341"/>
      <c r="Y317" s="341"/>
      <c r="Z317" s="344"/>
      <c r="AA317" s="344"/>
      <c r="AB317" s="666"/>
      <c r="AC317" s="251"/>
      <c r="AD317" s="186"/>
      <c r="AE317" s="180"/>
      <c r="AF317" s="180"/>
      <c r="AG317" s="180"/>
      <c r="AH317" s="180"/>
      <c r="AI317" s="180"/>
      <c r="AJ317" s="180"/>
    </row>
    <row r="318" spans="1:36" ht="21" customHeight="1" thickBot="1" x14ac:dyDescent="0.45">
      <c r="A318" s="180"/>
      <c r="B318" s="341"/>
      <c r="C318" s="341"/>
      <c r="D318" s="180"/>
      <c r="E318" s="536"/>
      <c r="F318" s="536"/>
      <c r="G318" s="341"/>
      <c r="H318" s="341"/>
      <c r="I318" s="341"/>
      <c r="J318" s="341"/>
      <c r="K318" s="341"/>
      <c r="L318" s="341"/>
      <c r="M318" s="341"/>
      <c r="N318" s="341"/>
      <c r="O318" s="341"/>
      <c r="P318" s="341"/>
      <c r="Q318" s="341"/>
      <c r="R318" s="341"/>
      <c r="S318" s="341"/>
      <c r="T318" s="341"/>
      <c r="U318" s="341"/>
      <c r="V318" s="341"/>
      <c r="W318" s="341"/>
      <c r="X318" s="341"/>
      <c r="Y318" s="341"/>
      <c r="Z318" s="344"/>
      <c r="AA318" s="344"/>
      <c r="AB318" s="666"/>
      <c r="AC318" s="251"/>
      <c r="AD318" s="186"/>
      <c r="AE318" s="180"/>
      <c r="AF318" s="180"/>
      <c r="AG318" s="180"/>
      <c r="AH318" s="180"/>
      <c r="AI318" s="180"/>
      <c r="AJ318" s="180"/>
    </row>
    <row r="319" spans="1:36" ht="21" customHeight="1" thickBot="1" x14ac:dyDescent="0.45">
      <c r="A319" s="180"/>
      <c r="B319" s="341"/>
      <c r="C319" s="341"/>
      <c r="D319" s="180"/>
      <c r="E319" s="536"/>
      <c r="F319" s="536"/>
      <c r="G319" s="341"/>
      <c r="H319" s="341"/>
      <c r="I319" s="341"/>
      <c r="J319" s="341"/>
      <c r="K319" s="341"/>
      <c r="L319" s="341"/>
      <c r="M319" s="341"/>
      <c r="N319" s="341"/>
      <c r="O319" s="341"/>
      <c r="P319" s="341"/>
      <c r="Q319" s="341"/>
      <c r="R319" s="341"/>
      <c r="S319" s="341"/>
      <c r="T319" s="341"/>
      <c r="U319" s="341"/>
      <c r="V319" s="341"/>
      <c r="W319" s="341"/>
      <c r="X319" s="341"/>
      <c r="Y319" s="341"/>
      <c r="Z319" s="344"/>
      <c r="AA319" s="344"/>
      <c r="AB319" s="666"/>
      <c r="AC319" s="251"/>
      <c r="AD319" s="186"/>
      <c r="AE319" s="180"/>
      <c r="AF319" s="180"/>
      <c r="AG319" s="180"/>
      <c r="AH319" s="180"/>
      <c r="AI319" s="180"/>
      <c r="AJ319" s="180"/>
    </row>
    <row r="320" spans="1:36" ht="21" customHeight="1" thickBot="1" x14ac:dyDescent="0.45">
      <c r="A320" s="180"/>
      <c r="B320" s="341"/>
      <c r="C320" s="341"/>
      <c r="D320" s="180"/>
      <c r="E320" s="536"/>
      <c r="F320" s="536"/>
      <c r="G320" s="341"/>
      <c r="H320" s="341"/>
      <c r="I320" s="341"/>
      <c r="J320" s="341"/>
      <c r="K320" s="341"/>
      <c r="L320" s="341"/>
      <c r="M320" s="341"/>
      <c r="N320" s="341"/>
      <c r="O320" s="341"/>
      <c r="P320" s="341"/>
      <c r="Q320" s="341"/>
      <c r="R320" s="341"/>
      <c r="S320" s="341"/>
      <c r="T320" s="341"/>
      <c r="U320" s="341"/>
      <c r="V320" s="341"/>
      <c r="W320" s="341"/>
      <c r="X320" s="341"/>
      <c r="Y320" s="341"/>
      <c r="Z320" s="344"/>
      <c r="AA320" s="344"/>
      <c r="AB320" s="666"/>
      <c r="AC320" s="251"/>
      <c r="AD320" s="186"/>
      <c r="AE320" s="180"/>
      <c r="AF320" s="180"/>
      <c r="AG320" s="180"/>
      <c r="AH320" s="180"/>
      <c r="AI320" s="180"/>
      <c r="AJ320" s="180"/>
    </row>
    <row r="321" spans="1:36" ht="21" customHeight="1" thickBot="1" x14ac:dyDescent="0.45">
      <c r="A321" s="180"/>
      <c r="B321" s="341"/>
      <c r="C321" s="341"/>
      <c r="D321" s="180"/>
      <c r="E321" s="536"/>
      <c r="F321" s="536"/>
      <c r="G321" s="341"/>
      <c r="H321" s="341"/>
      <c r="I321" s="341"/>
      <c r="J321" s="341"/>
      <c r="K321" s="341"/>
      <c r="L321" s="341"/>
      <c r="M321" s="341"/>
      <c r="N321" s="341"/>
      <c r="O321" s="341"/>
      <c r="P321" s="341"/>
      <c r="Q321" s="341"/>
      <c r="R321" s="341"/>
      <c r="S321" s="341"/>
      <c r="T321" s="341"/>
      <c r="U321" s="341"/>
      <c r="V321" s="341"/>
      <c r="W321" s="341"/>
      <c r="X321" s="341"/>
      <c r="Y321" s="341"/>
      <c r="Z321" s="344"/>
      <c r="AA321" s="344"/>
      <c r="AB321" s="666"/>
      <c r="AC321" s="251"/>
      <c r="AD321" s="186"/>
      <c r="AE321" s="180"/>
      <c r="AF321" s="180"/>
      <c r="AG321" s="180"/>
      <c r="AH321" s="180"/>
      <c r="AI321" s="180"/>
      <c r="AJ321" s="180"/>
    </row>
    <row r="322" spans="1:36" ht="21" customHeight="1" thickBot="1" x14ac:dyDescent="0.45">
      <c r="A322" s="180"/>
      <c r="B322" s="341"/>
      <c r="C322" s="341"/>
      <c r="D322" s="180"/>
      <c r="E322" s="536"/>
      <c r="F322" s="536"/>
      <c r="G322" s="341"/>
      <c r="H322" s="341"/>
      <c r="I322" s="341"/>
      <c r="J322" s="341"/>
      <c r="K322" s="341"/>
      <c r="L322" s="341"/>
      <c r="M322" s="341"/>
      <c r="N322" s="341"/>
      <c r="O322" s="341"/>
      <c r="P322" s="341"/>
      <c r="Q322" s="341"/>
      <c r="R322" s="341"/>
      <c r="S322" s="341"/>
      <c r="T322" s="341"/>
      <c r="U322" s="341"/>
      <c r="V322" s="341"/>
      <c r="W322" s="341"/>
      <c r="X322" s="341"/>
      <c r="Y322" s="341"/>
      <c r="Z322" s="344"/>
      <c r="AA322" s="344"/>
      <c r="AB322" s="666"/>
      <c r="AC322" s="251"/>
      <c r="AD322" s="186"/>
      <c r="AE322" s="180"/>
      <c r="AF322" s="180"/>
      <c r="AG322" s="180"/>
      <c r="AH322" s="180"/>
      <c r="AI322" s="180"/>
      <c r="AJ322" s="180"/>
    </row>
    <row r="323" spans="1:36" ht="21" customHeight="1" thickBot="1" x14ac:dyDescent="0.45">
      <c r="A323" s="180"/>
      <c r="B323" s="341"/>
      <c r="C323" s="341"/>
      <c r="D323" s="180"/>
      <c r="E323" s="536"/>
      <c r="F323" s="536"/>
      <c r="G323" s="341"/>
      <c r="H323" s="341"/>
      <c r="I323" s="341"/>
      <c r="J323" s="341"/>
      <c r="K323" s="341"/>
      <c r="L323" s="341"/>
      <c r="M323" s="341"/>
      <c r="N323" s="341"/>
      <c r="O323" s="341"/>
      <c r="P323" s="341"/>
      <c r="Q323" s="341"/>
      <c r="R323" s="341"/>
      <c r="S323" s="341"/>
      <c r="T323" s="341"/>
      <c r="U323" s="341"/>
      <c r="V323" s="341"/>
      <c r="W323" s="341"/>
      <c r="X323" s="341"/>
      <c r="Y323" s="341"/>
      <c r="Z323" s="344"/>
      <c r="AA323" s="344"/>
      <c r="AB323" s="666"/>
      <c r="AC323" s="251"/>
      <c r="AD323" s="186"/>
      <c r="AE323" s="180"/>
      <c r="AF323" s="180"/>
      <c r="AG323" s="180"/>
      <c r="AH323" s="180"/>
      <c r="AI323" s="180"/>
      <c r="AJ323" s="180"/>
    </row>
    <row r="324" spans="1:36" ht="21" customHeight="1" thickBot="1" x14ac:dyDescent="0.45">
      <c r="A324" s="180"/>
      <c r="B324" s="341"/>
      <c r="C324" s="341"/>
      <c r="D324" s="180"/>
      <c r="E324" s="536"/>
      <c r="F324" s="536"/>
      <c r="G324" s="341"/>
      <c r="H324" s="341"/>
      <c r="I324" s="341"/>
      <c r="J324" s="341"/>
      <c r="K324" s="341"/>
      <c r="L324" s="341"/>
      <c r="M324" s="341"/>
      <c r="N324" s="341"/>
      <c r="O324" s="341"/>
      <c r="P324" s="341"/>
      <c r="Q324" s="341"/>
      <c r="R324" s="341"/>
      <c r="S324" s="341"/>
      <c r="T324" s="341"/>
      <c r="U324" s="341"/>
      <c r="V324" s="341"/>
      <c r="W324" s="341"/>
      <c r="X324" s="341"/>
      <c r="Y324" s="341"/>
      <c r="Z324" s="344"/>
      <c r="AA324" s="344"/>
      <c r="AB324" s="666"/>
      <c r="AC324" s="251"/>
      <c r="AD324" s="186"/>
      <c r="AE324" s="180"/>
      <c r="AF324" s="180"/>
      <c r="AG324" s="180"/>
      <c r="AH324" s="180"/>
      <c r="AI324" s="180"/>
      <c r="AJ324" s="180"/>
    </row>
    <row r="325" spans="1:36" ht="21" customHeight="1" thickBot="1" x14ac:dyDescent="0.45">
      <c r="A325" s="180"/>
      <c r="B325" s="341"/>
      <c r="C325" s="341"/>
      <c r="D325" s="180"/>
      <c r="E325" s="536"/>
      <c r="F325" s="536"/>
      <c r="G325" s="341"/>
      <c r="H325" s="341"/>
      <c r="I325" s="341"/>
      <c r="J325" s="341"/>
      <c r="K325" s="341"/>
      <c r="L325" s="341"/>
      <c r="M325" s="341"/>
      <c r="N325" s="341"/>
      <c r="O325" s="341"/>
      <c r="P325" s="341"/>
      <c r="Q325" s="341"/>
      <c r="R325" s="341"/>
      <c r="S325" s="341"/>
      <c r="T325" s="341"/>
      <c r="U325" s="341"/>
      <c r="V325" s="341"/>
      <c r="W325" s="341"/>
      <c r="X325" s="341"/>
      <c r="Y325" s="341"/>
      <c r="Z325" s="344"/>
      <c r="AA325" s="344"/>
      <c r="AB325" s="666"/>
      <c r="AC325" s="251"/>
      <c r="AD325" s="186"/>
      <c r="AE325" s="180"/>
      <c r="AF325" s="180"/>
      <c r="AG325" s="180"/>
      <c r="AH325" s="180"/>
      <c r="AI325" s="180"/>
      <c r="AJ325" s="180"/>
    </row>
    <row r="326" spans="1:36" ht="21" customHeight="1" thickBot="1" x14ac:dyDescent="0.45">
      <c r="A326" s="180"/>
      <c r="B326" s="341"/>
      <c r="C326" s="341"/>
      <c r="D326" s="180"/>
      <c r="E326" s="536"/>
      <c r="F326" s="536"/>
      <c r="G326" s="341"/>
      <c r="H326" s="341"/>
      <c r="I326" s="341"/>
      <c r="J326" s="341"/>
      <c r="K326" s="341"/>
      <c r="L326" s="341"/>
      <c r="M326" s="341"/>
      <c r="N326" s="341"/>
      <c r="O326" s="341"/>
      <c r="P326" s="341"/>
      <c r="Q326" s="341"/>
      <c r="R326" s="341"/>
      <c r="S326" s="341"/>
      <c r="T326" s="341"/>
      <c r="U326" s="341"/>
      <c r="V326" s="341"/>
      <c r="W326" s="341"/>
      <c r="X326" s="341"/>
      <c r="Y326" s="341"/>
      <c r="Z326" s="344"/>
      <c r="AA326" s="344"/>
      <c r="AB326" s="666"/>
      <c r="AC326" s="251"/>
      <c r="AD326" s="186"/>
      <c r="AE326" s="180"/>
      <c r="AF326" s="180"/>
      <c r="AG326" s="180"/>
      <c r="AH326" s="180"/>
      <c r="AI326" s="180"/>
      <c r="AJ326" s="180"/>
    </row>
    <row r="327" spans="1:36" ht="21" customHeight="1" thickBot="1" x14ac:dyDescent="0.45">
      <c r="A327" s="180"/>
      <c r="B327" s="341"/>
      <c r="C327" s="341"/>
      <c r="D327" s="180"/>
      <c r="E327" s="536"/>
      <c r="F327" s="536"/>
      <c r="G327" s="341"/>
      <c r="H327" s="341"/>
      <c r="I327" s="341"/>
      <c r="J327" s="341"/>
      <c r="K327" s="341"/>
      <c r="L327" s="341"/>
      <c r="M327" s="341"/>
      <c r="N327" s="341"/>
      <c r="O327" s="341"/>
      <c r="P327" s="341"/>
      <c r="Q327" s="341"/>
      <c r="R327" s="341"/>
      <c r="S327" s="341"/>
      <c r="T327" s="341"/>
      <c r="U327" s="341"/>
      <c r="V327" s="341"/>
      <c r="W327" s="341"/>
      <c r="X327" s="341"/>
      <c r="Y327" s="341"/>
      <c r="Z327" s="344"/>
      <c r="AA327" s="344"/>
      <c r="AB327" s="666"/>
      <c r="AC327" s="251"/>
      <c r="AD327" s="186"/>
      <c r="AE327" s="180"/>
      <c r="AF327" s="180"/>
      <c r="AG327" s="180"/>
      <c r="AH327" s="180"/>
      <c r="AI327" s="180"/>
      <c r="AJ327" s="180"/>
    </row>
    <row r="328" spans="1:36" ht="21" customHeight="1" thickBot="1" x14ac:dyDescent="0.45">
      <c r="A328" s="180"/>
      <c r="B328" s="341"/>
      <c r="C328" s="341"/>
      <c r="D328" s="180"/>
      <c r="E328" s="536"/>
      <c r="F328" s="536"/>
      <c r="G328" s="341"/>
      <c r="H328" s="341"/>
      <c r="I328" s="341"/>
      <c r="J328" s="341"/>
      <c r="K328" s="341"/>
      <c r="L328" s="341"/>
      <c r="M328" s="341"/>
      <c r="N328" s="341"/>
      <c r="O328" s="341"/>
      <c r="P328" s="341"/>
      <c r="Q328" s="341"/>
      <c r="R328" s="341"/>
      <c r="S328" s="341"/>
      <c r="T328" s="341"/>
      <c r="U328" s="341"/>
      <c r="V328" s="341"/>
      <c r="W328" s="341"/>
      <c r="X328" s="341"/>
      <c r="Y328" s="341"/>
      <c r="Z328" s="344"/>
      <c r="AA328" s="344"/>
      <c r="AB328" s="666"/>
      <c r="AC328" s="251"/>
      <c r="AD328" s="186"/>
      <c r="AE328" s="180"/>
      <c r="AF328" s="180"/>
      <c r="AG328" s="180"/>
      <c r="AH328" s="180"/>
      <c r="AI328" s="180"/>
      <c r="AJ328" s="180"/>
    </row>
    <row r="329" spans="1:36" ht="21" customHeight="1" thickBot="1" x14ac:dyDescent="0.45">
      <c r="A329" s="180"/>
      <c r="B329" s="341"/>
      <c r="C329" s="341"/>
      <c r="D329" s="180"/>
      <c r="E329" s="536"/>
      <c r="F329" s="536"/>
      <c r="G329" s="341"/>
      <c r="H329" s="341"/>
      <c r="I329" s="341"/>
      <c r="J329" s="341"/>
      <c r="K329" s="341"/>
      <c r="L329" s="341"/>
      <c r="M329" s="341"/>
      <c r="N329" s="341"/>
      <c r="O329" s="341"/>
      <c r="P329" s="341"/>
      <c r="Q329" s="341"/>
      <c r="R329" s="341"/>
      <c r="S329" s="341"/>
      <c r="T329" s="341"/>
      <c r="U329" s="341"/>
      <c r="V329" s="341"/>
      <c r="W329" s="341"/>
      <c r="X329" s="341"/>
      <c r="Y329" s="341"/>
      <c r="Z329" s="344"/>
      <c r="AA329" s="344"/>
      <c r="AB329" s="666"/>
      <c r="AC329" s="251"/>
      <c r="AD329" s="186"/>
      <c r="AE329" s="180"/>
      <c r="AF329" s="180"/>
      <c r="AG329" s="180"/>
      <c r="AH329" s="180"/>
      <c r="AI329" s="180"/>
      <c r="AJ329" s="180"/>
    </row>
    <row r="330" spans="1:36" ht="21" customHeight="1" thickBot="1" x14ac:dyDescent="0.45">
      <c r="A330" s="180"/>
      <c r="B330" s="341"/>
      <c r="C330" s="341"/>
      <c r="D330" s="180"/>
      <c r="E330" s="536"/>
      <c r="F330" s="536"/>
      <c r="G330" s="341"/>
      <c r="H330" s="341"/>
      <c r="I330" s="341"/>
      <c r="J330" s="341"/>
      <c r="K330" s="341"/>
      <c r="L330" s="341"/>
      <c r="M330" s="341"/>
      <c r="N330" s="341"/>
      <c r="O330" s="341"/>
      <c r="P330" s="341"/>
      <c r="Q330" s="341"/>
      <c r="R330" s="341"/>
      <c r="S330" s="341"/>
      <c r="T330" s="341"/>
      <c r="U330" s="341"/>
      <c r="V330" s="341"/>
      <c r="W330" s="341"/>
      <c r="X330" s="341"/>
      <c r="Y330" s="341"/>
      <c r="Z330" s="344"/>
      <c r="AA330" s="344"/>
      <c r="AB330" s="666"/>
      <c r="AC330" s="251"/>
      <c r="AD330" s="186"/>
      <c r="AE330" s="180"/>
      <c r="AF330" s="180"/>
      <c r="AG330" s="180"/>
      <c r="AH330" s="180"/>
      <c r="AI330" s="180"/>
      <c r="AJ330" s="180"/>
    </row>
    <row r="331" spans="1:36" ht="21" customHeight="1" thickBot="1" x14ac:dyDescent="0.45">
      <c r="A331" s="180"/>
      <c r="B331" s="341"/>
      <c r="C331" s="341"/>
      <c r="D331" s="180"/>
      <c r="E331" s="536"/>
      <c r="F331" s="536"/>
      <c r="G331" s="341"/>
      <c r="H331" s="341"/>
      <c r="I331" s="341"/>
      <c r="J331" s="341"/>
      <c r="K331" s="341"/>
      <c r="L331" s="341"/>
      <c r="M331" s="341"/>
      <c r="N331" s="341"/>
      <c r="O331" s="341"/>
      <c r="P331" s="341"/>
      <c r="Q331" s="341"/>
      <c r="R331" s="341"/>
      <c r="S331" s="341"/>
      <c r="T331" s="341"/>
      <c r="U331" s="341"/>
      <c r="V331" s="341"/>
      <c r="W331" s="341"/>
      <c r="X331" s="341"/>
      <c r="Y331" s="341"/>
      <c r="Z331" s="344"/>
      <c r="AA331" s="344"/>
      <c r="AB331" s="666"/>
      <c r="AC331" s="251"/>
      <c r="AD331" s="186"/>
      <c r="AE331" s="180"/>
      <c r="AF331" s="180"/>
      <c r="AG331" s="180"/>
      <c r="AH331" s="180"/>
      <c r="AI331" s="180"/>
      <c r="AJ331" s="180"/>
    </row>
    <row r="332" spans="1:36" ht="21" customHeight="1" thickBot="1" x14ac:dyDescent="0.45">
      <c r="A332" s="180"/>
      <c r="B332" s="341"/>
      <c r="C332" s="341"/>
      <c r="D332" s="180"/>
      <c r="E332" s="536"/>
      <c r="F332" s="536"/>
      <c r="G332" s="341"/>
      <c r="H332" s="341"/>
      <c r="I332" s="341"/>
      <c r="J332" s="341"/>
      <c r="K332" s="341"/>
      <c r="L332" s="341"/>
      <c r="M332" s="341"/>
      <c r="N332" s="341"/>
      <c r="O332" s="341"/>
      <c r="P332" s="341"/>
      <c r="Q332" s="341"/>
      <c r="R332" s="341"/>
      <c r="S332" s="341"/>
      <c r="T332" s="341"/>
      <c r="U332" s="341"/>
      <c r="V332" s="341"/>
      <c r="W332" s="341"/>
      <c r="X332" s="341"/>
      <c r="Y332" s="341"/>
      <c r="Z332" s="344"/>
      <c r="AA332" s="344"/>
      <c r="AB332" s="666"/>
      <c r="AC332" s="251"/>
      <c r="AD332" s="186"/>
      <c r="AE332" s="180"/>
      <c r="AF332" s="180"/>
      <c r="AG332" s="180"/>
      <c r="AH332" s="180"/>
      <c r="AI332" s="180"/>
      <c r="AJ332" s="180"/>
    </row>
    <row r="333" spans="1:36" ht="21" customHeight="1" thickBot="1" x14ac:dyDescent="0.45">
      <c r="A333" s="180"/>
      <c r="B333" s="341"/>
      <c r="C333" s="341"/>
      <c r="D333" s="180"/>
      <c r="E333" s="536"/>
      <c r="F333" s="536"/>
      <c r="G333" s="341"/>
      <c r="H333" s="341"/>
      <c r="I333" s="341"/>
      <c r="J333" s="341"/>
      <c r="K333" s="341"/>
      <c r="L333" s="341"/>
      <c r="M333" s="341"/>
      <c r="N333" s="341"/>
      <c r="O333" s="341"/>
      <c r="P333" s="341"/>
      <c r="Q333" s="341"/>
      <c r="R333" s="341"/>
      <c r="S333" s="341"/>
      <c r="T333" s="341"/>
      <c r="U333" s="341"/>
      <c r="V333" s="341"/>
      <c r="W333" s="341"/>
      <c r="X333" s="341"/>
      <c r="Y333" s="341"/>
      <c r="Z333" s="344"/>
      <c r="AA333" s="344"/>
      <c r="AB333" s="666"/>
      <c r="AC333" s="251"/>
      <c r="AD333" s="186"/>
      <c r="AE333" s="180"/>
      <c r="AF333" s="180"/>
      <c r="AG333" s="180"/>
      <c r="AH333" s="180"/>
      <c r="AI333" s="180"/>
      <c r="AJ333" s="180"/>
    </row>
    <row r="334" spans="1:36" ht="21" customHeight="1" thickBot="1" x14ac:dyDescent="0.45">
      <c r="A334" s="180"/>
      <c r="B334" s="341"/>
      <c r="C334" s="341"/>
      <c r="D334" s="180"/>
      <c r="E334" s="536"/>
      <c r="F334" s="536"/>
      <c r="G334" s="341"/>
      <c r="H334" s="341"/>
      <c r="I334" s="341"/>
      <c r="J334" s="341"/>
      <c r="K334" s="341"/>
      <c r="L334" s="341"/>
      <c r="M334" s="341"/>
      <c r="N334" s="341"/>
      <c r="O334" s="341"/>
      <c r="P334" s="341"/>
      <c r="Q334" s="341"/>
      <c r="R334" s="341"/>
      <c r="S334" s="341"/>
      <c r="T334" s="341"/>
      <c r="U334" s="341"/>
      <c r="V334" s="341"/>
      <c r="W334" s="341"/>
      <c r="X334" s="341"/>
      <c r="Y334" s="341"/>
      <c r="Z334" s="344"/>
      <c r="AA334" s="344"/>
      <c r="AB334" s="666"/>
      <c r="AC334" s="251"/>
      <c r="AD334" s="186"/>
      <c r="AE334" s="180"/>
      <c r="AF334" s="180"/>
      <c r="AG334" s="180"/>
      <c r="AH334" s="180"/>
      <c r="AI334" s="180"/>
      <c r="AJ334" s="180"/>
    </row>
    <row r="335" spans="1:36" ht="21" customHeight="1" thickBot="1" x14ac:dyDescent="0.45">
      <c r="A335" s="180"/>
      <c r="B335" s="341"/>
      <c r="C335" s="341"/>
      <c r="D335" s="180"/>
      <c r="E335" s="536"/>
      <c r="F335" s="536"/>
      <c r="G335" s="341"/>
      <c r="H335" s="341"/>
      <c r="I335" s="341"/>
      <c r="J335" s="341"/>
      <c r="K335" s="341"/>
      <c r="L335" s="341"/>
      <c r="M335" s="341"/>
      <c r="N335" s="341"/>
      <c r="O335" s="341"/>
      <c r="P335" s="341"/>
      <c r="Q335" s="341"/>
      <c r="R335" s="341"/>
      <c r="S335" s="341"/>
      <c r="T335" s="341"/>
      <c r="U335" s="341"/>
      <c r="V335" s="341"/>
      <c r="W335" s="341"/>
      <c r="X335" s="341"/>
      <c r="Y335" s="341"/>
      <c r="Z335" s="344"/>
      <c r="AA335" s="344"/>
      <c r="AB335" s="666"/>
      <c r="AC335" s="251"/>
      <c r="AD335" s="186"/>
      <c r="AE335" s="180"/>
      <c r="AF335" s="180"/>
      <c r="AG335" s="180"/>
      <c r="AH335" s="180"/>
      <c r="AI335" s="180"/>
      <c r="AJ335" s="180"/>
    </row>
    <row r="336" spans="1:36" ht="21" customHeight="1" thickBot="1" x14ac:dyDescent="0.45">
      <c r="A336" s="180"/>
      <c r="B336" s="341"/>
      <c r="C336" s="341"/>
      <c r="D336" s="180"/>
      <c r="E336" s="536"/>
      <c r="F336" s="536"/>
      <c r="G336" s="341"/>
      <c r="H336" s="341"/>
      <c r="I336" s="341"/>
      <c r="J336" s="341"/>
      <c r="K336" s="341"/>
      <c r="L336" s="341"/>
      <c r="M336" s="341"/>
      <c r="N336" s="341"/>
      <c r="O336" s="341"/>
      <c r="P336" s="341"/>
      <c r="Q336" s="341"/>
      <c r="R336" s="341"/>
      <c r="S336" s="341"/>
      <c r="T336" s="341"/>
      <c r="U336" s="341"/>
      <c r="V336" s="341"/>
      <c r="W336" s="341"/>
      <c r="X336" s="341"/>
      <c r="Y336" s="341"/>
      <c r="Z336" s="344"/>
      <c r="AA336" s="344"/>
      <c r="AB336" s="666"/>
      <c r="AC336" s="251"/>
      <c r="AD336" s="186"/>
      <c r="AE336" s="180"/>
      <c r="AF336" s="180"/>
      <c r="AG336" s="180"/>
      <c r="AH336" s="180"/>
      <c r="AI336" s="180"/>
      <c r="AJ336" s="180"/>
    </row>
    <row r="337" spans="1:36" ht="21" customHeight="1" thickBot="1" x14ac:dyDescent="0.45">
      <c r="A337" s="180"/>
      <c r="B337" s="341"/>
      <c r="C337" s="341"/>
      <c r="D337" s="180"/>
      <c r="E337" s="536"/>
      <c r="F337" s="536"/>
      <c r="G337" s="341"/>
      <c r="H337" s="341"/>
      <c r="I337" s="341"/>
      <c r="J337" s="341"/>
      <c r="K337" s="341"/>
      <c r="L337" s="341"/>
      <c r="M337" s="341"/>
      <c r="N337" s="341"/>
      <c r="O337" s="341"/>
      <c r="P337" s="341"/>
      <c r="Q337" s="341"/>
      <c r="R337" s="341"/>
      <c r="S337" s="341"/>
      <c r="T337" s="341"/>
      <c r="U337" s="341"/>
      <c r="V337" s="341"/>
      <c r="W337" s="341"/>
      <c r="X337" s="341"/>
      <c r="Y337" s="341"/>
      <c r="Z337" s="344"/>
      <c r="AA337" s="344"/>
      <c r="AB337" s="666"/>
      <c r="AC337" s="251"/>
      <c r="AD337" s="186"/>
      <c r="AE337" s="180"/>
      <c r="AF337" s="180"/>
      <c r="AG337" s="180"/>
      <c r="AH337" s="180"/>
      <c r="AI337" s="180"/>
      <c r="AJ337" s="180"/>
    </row>
    <row r="338" spans="1:36" ht="21" customHeight="1" thickBot="1" x14ac:dyDescent="0.45">
      <c r="A338" s="180"/>
      <c r="B338" s="341"/>
      <c r="C338" s="341"/>
      <c r="D338" s="180"/>
      <c r="E338" s="536"/>
      <c r="F338" s="536"/>
      <c r="G338" s="341"/>
      <c r="H338" s="341"/>
      <c r="I338" s="341"/>
      <c r="J338" s="341"/>
      <c r="K338" s="341"/>
      <c r="L338" s="341"/>
      <c r="M338" s="341"/>
      <c r="N338" s="341"/>
      <c r="O338" s="341"/>
      <c r="P338" s="341"/>
      <c r="Q338" s="341"/>
      <c r="R338" s="341"/>
      <c r="S338" s="341"/>
      <c r="T338" s="341"/>
      <c r="U338" s="341"/>
      <c r="V338" s="341"/>
      <c r="W338" s="341"/>
      <c r="X338" s="341"/>
      <c r="Y338" s="341"/>
      <c r="Z338" s="344"/>
      <c r="AA338" s="344"/>
      <c r="AB338" s="666"/>
      <c r="AC338" s="251"/>
      <c r="AD338" s="186"/>
      <c r="AE338" s="180"/>
      <c r="AF338" s="180"/>
      <c r="AG338" s="180"/>
      <c r="AH338" s="180"/>
      <c r="AI338" s="180"/>
      <c r="AJ338" s="180"/>
    </row>
    <row r="339" spans="1:36" ht="21" customHeight="1" thickBot="1" x14ac:dyDescent="0.45">
      <c r="A339" s="180"/>
      <c r="B339" s="341"/>
      <c r="C339" s="341"/>
      <c r="D339" s="180"/>
      <c r="E339" s="536"/>
      <c r="F339" s="536"/>
      <c r="G339" s="341"/>
      <c r="H339" s="341"/>
      <c r="I339" s="341"/>
      <c r="J339" s="341"/>
      <c r="K339" s="341"/>
      <c r="L339" s="341"/>
      <c r="M339" s="341"/>
      <c r="N339" s="341"/>
      <c r="O339" s="341"/>
      <c r="P339" s="341"/>
      <c r="Q339" s="341"/>
      <c r="R339" s="341"/>
      <c r="S339" s="341"/>
      <c r="T339" s="341"/>
      <c r="U339" s="341"/>
      <c r="V339" s="341"/>
      <c r="W339" s="341"/>
      <c r="X339" s="341"/>
      <c r="Y339" s="341"/>
      <c r="Z339" s="344"/>
      <c r="AA339" s="344"/>
      <c r="AB339" s="666"/>
      <c r="AC339" s="251"/>
      <c r="AD339" s="186"/>
      <c r="AE339" s="180"/>
      <c r="AF339" s="180"/>
      <c r="AG339" s="180"/>
      <c r="AH339" s="180"/>
      <c r="AI339" s="180"/>
      <c r="AJ339" s="180"/>
    </row>
    <row r="340" spans="1:36" ht="21" customHeight="1" thickBot="1" x14ac:dyDescent="0.45">
      <c r="A340" s="180"/>
      <c r="B340" s="341"/>
      <c r="C340" s="341"/>
      <c r="D340" s="180"/>
      <c r="E340" s="536"/>
      <c r="F340" s="536"/>
      <c r="G340" s="341"/>
      <c r="H340" s="341"/>
      <c r="I340" s="341"/>
      <c r="J340" s="341"/>
      <c r="K340" s="341"/>
      <c r="L340" s="341"/>
      <c r="M340" s="341"/>
      <c r="N340" s="341"/>
      <c r="O340" s="341"/>
      <c r="P340" s="341"/>
      <c r="Q340" s="341"/>
      <c r="R340" s="341"/>
      <c r="S340" s="341"/>
      <c r="T340" s="341"/>
      <c r="U340" s="341"/>
      <c r="V340" s="341"/>
      <c r="W340" s="341"/>
      <c r="X340" s="341"/>
      <c r="Y340" s="341"/>
      <c r="Z340" s="344"/>
      <c r="AA340" s="344"/>
      <c r="AB340" s="666"/>
      <c r="AC340" s="251"/>
      <c r="AD340" s="186"/>
      <c r="AE340" s="180"/>
      <c r="AF340" s="180"/>
      <c r="AG340" s="180"/>
      <c r="AH340" s="180"/>
      <c r="AI340" s="180"/>
      <c r="AJ340" s="180"/>
    </row>
    <row r="341" spans="1:36" ht="21" customHeight="1" thickBot="1" x14ac:dyDescent="0.45">
      <c r="A341" s="180"/>
      <c r="B341" s="341"/>
      <c r="C341" s="341"/>
      <c r="D341" s="180"/>
      <c r="E341" s="536"/>
      <c r="F341" s="536"/>
      <c r="G341" s="341"/>
      <c r="H341" s="341"/>
      <c r="I341" s="341"/>
      <c r="J341" s="341"/>
      <c r="K341" s="341"/>
      <c r="L341" s="341"/>
      <c r="M341" s="341"/>
      <c r="N341" s="341"/>
      <c r="O341" s="341"/>
      <c r="P341" s="341"/>
      <c r="Q341" s="341"/>
      <c r="R341" s="341"/>
      <c r="S341" s="341"/>
      <c r="T341" s="341"/>
      <c r="U341" s="341"/>
      <c r="V341" s="341"/>
      <c r="W341" s="341"/>
      <c r="X341" s="341"/>
      <c r="Y341" s="341"/>
      <c r="Z341" s="344"/>
      <c r="AA341" s="344"/>
      <c r="AB341" s="666"/>
      <c r="AC341" s="251"/>
      <c r="AD341" s="186"/>
      <c r="AE341" s="180"/>
      <c r="AF341" s="180"/>
      <c r="AG341" s="180"/>
      <c r="AH341" s="180"/>
      <c r="AI341" s="180"/>
      <c r="AJ341" s="180"/>
    </row>
    <row r="342" spans="1:36" ht="21" customHeight="1" thickBot="1" x14ac:dyDescent="0.45">
      <c r="A342" s="180"/>
      <c r="B342" s="341"/>
      <c r="C342" s="341"/>
      <c r="D342" s="180"/>
      <c r="E342" s="536"/>
      <c r="F342" s="536"/>
      <c r="G342" s="341"/>
      <c r="H342" s="341"/>
      <c r="I342" s="341"/>
      <c r="J342" s="341"/>
      <c r="K342" s="341"/>
      <c r="L342" s="341"/>
      <c r="M342" s="341"/>
      <c r="N342" s="341"/>
      <c r="O342" s="341"/>
      <c r="P342" s="341"/>
      <c r="Q342" s="341"/>
      <c r="R342" s="341"/>
      <c r="S342" s="341"/>
      <c r="T342" s="341"/>
      <c r="U342" s="341"/>
      <c r="V342" s="341"/>
      <c r="W342" s="341"/>
      <c r="X342" s="341"/>
      <c r="Y342" s="341"/>
      <c r="Z342" s="344"/>
      <c r="AA342" s="344"/>
      <c r="AB342" s="666"/>
      <c r="AC342" s="251"/>
      <c r="AD342" s="186"/>
      <c r="AE342" s="180"/>
      <c r="AF342" s="180"/>
      <c r="AG342" s="180"/>
      <c r="AH342" s="180"/>
      <c r="AI342" s="180"/>
      <c r="AJ342" s="180"/>
    </row>
    <row r="343" spans="1:36" ht="21" customHeight="1" thickBot="1" x14ac:dyDescent="0.45">
      <c r="A343" s="180"/>
      <c r="B343" s="341"/>
      <c r="C343" s="341"/>
      <c r="D343" s="180"/>
      <c r="E343" s="536"/>
      <c r="F343" s="536"/>
      <c r="G343" s="341"/>
      <c r="H343" s="341"/>
      <c r="I343" s="341"/>
      <c r="J343" s="341"/>
      <c r="K343" s="341"/>
      <c r="L343" s="341"/>
      <c r="M343" s="341"/>
      <c r="N343" s="341"/>
      <c r="O343" s="341"/>
      <c r="P343" s="341"/>
      <c r="Q343" s="341"/>
      <c r="R343" s="341"/>
      <c r="S343" s="341"/>
      <c r="T343" s="341"/>
      <c r="U343" s="341"/>
      <c r="V343" s="341"/>
      <c r="W343" s="341"/>
      <c r="X343" s="341"/>
      <c r="Y343" s="341"/>
      <c r="Z343" s="344"/>
      <c r="AA343" s="344"/>
      <c r="AB343" s="666"/>
      <c r="AC343" s="251"/>
      <c r="AD343" s="186"/>
      <c r="AE343" s="180"/>
      <c r="AF343" s="180"/>
      <c r="AG343" s="180"/>
      <c r="AH343" s="180"/>
      <c r="AI343" s="180"/>
      <c r="AJ343" s="180"/>
    </row>
    <row r="344" spans="1:36" ht="21" customHeight="1" thickBot="1" x14ac:dyDescent="0.45">
      <c r="A344" s="180"/>
      <c r="B344" s="341"/>
      <c r="C344" s="341"/>
      <c r="D344" s="180"/>
      <c r="E344" s="536"/>
      <c r="F344" s="536"/>
      <c r="G344" s="341"/>
      <c r="H344" s="341"/>
      <c r="I344" s="341"/>
      <c r="J344" s="341"/>
      <c r="K344" s="341"/>
      <c r="L344" s="341"/>
      <c r="M344" s="341"/>
      <c r="N344" s="341"/>
      <c r="O344" s="341"/>
      <c r="P344" s="341"/>
      <c r="Q344" s="341"/>
      <c r="R344" s="341"/>
      <c r="S344" s="341"/>
      <c r="T344" s="341"/>
      <c r="U344" s="341"/>
      <c r="V344" s="341"/>
      <c r="W344" s="341"/>
      <c r="X344" s="341"/>
      <c r="Y344" s="341"/>
      <c r="Z344" s="344"/>
      <c r="AA344" s="344"/>
      <c r="AB344" s="666"/>
      <c r="AC344" s="251"/>
      <c r="AD344" s="186"/>
      <c r="AE344" s="180"/>
      <c r="AF344" s="180"/>
      <c r="AG344" s="180"/>
      <c r="AH344" s="180"/>
      <c r="AI344" s="180"/>
      <c r="AJ344" s="180"/>
    </row>
    <row r="345" spans="1:36" ht="21" customHeight="1" thickBot="1" x14ac:dyDescent="0.45">
      <c r="A345" s="180"/>
      <c r="B345" s="341"/>
      <c r="C345" s="341"/>
      <c r="D345" s="180"/>
      <c r="E345" s="536"/>
      <c r="F345" s="536"/>
      <c r="G345" s="341"/>
      <c r="H345" s="341"/>
      <c r="I345" s="341"/>
      <c r="J345" s="341"/>
      <c r="K345" s="341"/>
      <c r="L345" s="341"/>
      <c r="M345" s="341"/>
      <c r="N345" s="341"/>
      <c r="O345" s="341"/>
      <c r="P345" s="341"/>
      <c r="Q345" s="341"/>
      <c r="R345" s="341"/>
      <c r="S345" s="341"/>
      <c r="T345" s="341"/>
      <c r="U345" s="341"/>
      <c r="V345" s="341"/>
      <c r="W345" s="341"/>
      <c r="X345" s="341"/>
      <c r="Y345" s="341"/>
      <c r="Z345" s="344"/>
      <c r="AA345" s="344"/>
      <c r="AB345" s="666"/>
      <c r="AC345" s="251"/>
      <c r="AD345" s="186"/>
      <c r="AE345" s="180"/>
      <c r="AF345" s="180"/>
      <c r="AG345" s="180"/>
      <c r="AH345" s="180"/>
      <c r="AI345" s="180"/>
      <c r="AJ345" s="180"/>
    </row>
    <row r="346" spans="1:36" ht="21" customHeight="1" thickBot="1" x14ac:dyDescent="0.45">
      <c r="A346" s="180"/>
      <c r="B346" s="341"/>
      <c r="C346" s="341"/>
      <c r="D346" s="180"/>
      <c r="E346" s="536"/>
      <c r="F346" s="536"/>
      <c r="G346" s="341"/>
      <c r="H346" s="341"/>
      <c r="I346" s="341"/>
      <c r="J346" s="341"/>
      <c r="K346" s="341"/>
      <c r="L346" s="341"/>
      <c r="M346" s="341"/>
      <c r="N346" s="341"/>
      <c r="O346" s="341"/>
      <c r="P346" s="341"/>
      <c r="Q346" s="341"/>
      <c r="R346" s="341"/>
      <c r="S346" s="341"/>
      <c r="T346" s="341"/>
      <c r="U346" s="341"/>
      <c r="V346" s="341"/>
      <c r="W346" s="341"/>
      <c r="X346" s="341"/>
      <c r="Y346" s="341"/>
      <c r="Z346" s="344"/>
      <c r="AA346" s="344"/>
      <c r="AB346" s="666"/>
      <c r="AC346" s="251"/>
      <c r="AD346" s="186"/>
      <c r="AE346" s="180"/>
      <c r="AF346" s="180"/>
      <c r="AG346" s="180"/>
      <c r="AH346" s="180"/>
      <c r="AI346" s="180"/>
      <c r="AJ346" s="180"/>
    </row>
    <row r="347" spans="1:36" ht="21" customHeight="1" thickBot="1" x14ac:dyDescent="0.45">
      <c r="A347" s="180"/>
      <c r="B347" s="341"/>
      <c r="C347" s="341"/>
      <c r="D347" s="180"/>
      <c r="E347" s="536"/>
      <c r="F347" s="536"/>
      <c r="G347" s="341"/>
      <c r="H347" s="341"/>
      <c r="I347" s="341"/>
      <c r="J347" s="341"/>
      <c r="K347" s="341"/>
      <c r="L347" s="341"/>
      <c r="M347" s="341"/>
      <c r="N347" s="341"/>
      <c r="O347" s="341"/>
      <c r="P347" s="341"/>
      <c r="Q347" s="341"/>
      <c r="R347" s="341"/>
      <c r="S347" s="341"/>
      <c r="T347" s="341"/>
      <c r="U347" s="341"/>
      <c r="V347" s="341"/>
      <c r="W347" s="341"/>
      <c r="X347" s="341"/>
      <c r="Y347" s="341"/>
      <c r="Z347" s="344"/>
      <c r="AA347" s="344"/>
      <c r="AB347" s="666"/>
      <c r="AC347" s="251"/>
      <c r="AD347" s="186"/>
      <c r="AE347" s="180"/>
      <c r="AF347" s="180"/>
      <c r="AG347" s="180"/>
      <c r="AH347" s="180"/>
      <c r="AI347" s="180"/>
      <c r="AJ347" s="180"/>
    </row>
    <row r="348" spans="1:36" ht="21" customHeight="1" thickBot="1" x14ac:dyDescent="0.45">
      <c r="A348" s="180"/>
      <c r="B348" s="341"/>
      <c r="C348" s="341"/>
      <c r="D348" s="180"/>
      <c r="E348" s="536"/>
      <c r="F348" s="536"/>
      <c r="G348" s="341"/>
      <c r="H348" s="341"/>
      <c r="I348" s="341"/>
      <c r="J348" s="341"/>
      <c r="K348" s="341"/>
      <c r="L348" s="341"/>
      <c r="M348" s="341"/>
      <c r="N348" s="341"/>
      <c r="O348" s="341"/>
      <c r="P348" s="341"/>
      <c r="Q348" s="341"/>
      <c r="R348" s="341"/>
      <c r="S348" s="341"/>
      <c r="T348" s="341"/>
      <c r="U348" s="341"/>
      <c r="V348" s="341"/>
      <c r="W348" s="341"/>
      <c r="X348" s="341"/>
      <c r="Y348" s="341"/>
      <c r="Z348" s="344"/>
      <c r="AA348" s="344"/>
      <c r="AB348" s="666"/>
      <c r="AC348" s="251"/>
      <c r="AD348" s="186"/>
      <c r="AE348" s="180"/>
      <c r="AF348" s="180"/>
      <c r="AG348" s="180"/>
      <c r="AH348" s="180"/>
      <c r="AI348" s="180"/>
      <c r="AJ348" s="180"/>
    </row>
    <row r="349" spans="1:36" ht="21" customHeight="1" thickBot="1" x14ac:dyDescent="0.45">
      <c r="A349" s="180"/>
      <c r="B349" s="341"/>
      <c r="C349" s="341"/>
      <c r="D349" s="180"/>
      <c r="E349" s="536"/>
      <c r="F349" s="536"/>
      <c r="G349" s="341"/>
      <c r="H349" s="341"/>
      <c r="I349" s="341"/>
      <c r="J349" s="341"/>
      <c r="K349" s="341"/>
      <c r="L349" s="341"/>
      <c r="M349" s="341"/>
      <c r="N349" s="341"/>
      <c r="O349" s="341"/>
      <c r="P349" s="341"/>
      <c r="Q349" s="341"/>
      <c r="R349" s="341"/>
      <c r="S349" s="341"/>
      <c r="T349" s="341"/>
      <c r="U349" s="341"/>
      <c r="V349" s="341"/>
      <c r="W349" s="341"/>
      <c r="X349" s="341"/>
      <c r="Y349" s="341"/>
      <c r="Z349" s="344"/>
      <c r="AA349" s="344"/>
      <c r="AB349" s="666"/>
      <c r="AC349" s="251"/>
      <c r="AD349" s="186"/>
      <c r="AE349" s="180"/>
      <c r="AF349" s="180"/>
      <c r="AG349" s="180"/>
      <c r="AH349" s="180"/>
      <c r="AI349" s="180"/>
      <c r="AJ349" s="180"/>
    </row>
    <row r="350" spans="1:36" ht="21" customHeight="1" thickBot="1" x14ac:dyDescent="0.45">
      <c r="A350" s="180"/>
      <c r="B350" s="341"/>
      <c r="C350" s="341"/>
      <c r="D350" s="180"/>
      <c r="E350" s="536"/>
      <c r="F350" s="536"/>
      <c r="G350" s="341"/>
      <c r="H350" s="341"/>
      <c r="I350" s="341"/>
      <c r="J350" s="341"/>
      <c r="K350" s="341"/>
      <c r="L350" s="341"/>
      <c r="M350" s="341"/>
      <c r="N350" s="341"/>
      <c r="O350" s="341"/>
      <c r="P350" s="341"/>
      <c r="Q350" s="341"/>
      <c r="R350" s="341"/>
      <c r="S350" s="341"/>
      <c r="T350" s="341"/>
      <c r="U350" s="341"/>
      <c r="V350" s="341"/>
      <c r="W350" s="341"/>
      <c r="X350" s="341"/>
      <c r="Y350" s="341"/>
      <c r="Z350" s="344"/>
      <c r="AA350" s="344"/>
      <c r="AB350" s="666"/>
      <c r="AC350" s="251"/>
      <c r="AD350" s="186"/>
      <c r="AE350" s="180"/>
      <c r="AF350" s="180"/>
      <c r="AG350" s="180"/>
      <c r="AH350" s="180"/>
      <c r="AI350" s="180"/>
      <c r="AJ350" s="180"/>
    </row>
    <row r="351" spans="1:36" ht="21" customHeight="1" thickBot="1" x14ac:dyDescent="0.45">
      <c r="A351" s="180"/>
      <c r="B351" s="341"/>
      <c r="C351" s="341"/>
      <c r="D351" s="180"/>
      <c r="E351" s="536"/>
      <c r="F351" s="536"/>
      <c r="G351" s="341"/>
      <c r="H351" s="341"/>
      <c r="I351" s="341"/>
      <c r="J351" s="341"/>
      <c r="K351" s="341"/>
      <c r="L351" s="341"/>
      <c r="M351" s="341"/>
      <c r="N351" s="341"/>
      <c r="O351" s="341"/>
      <c r="P351" s="341"/>
      <c r="Q351" s="341"/>
      <c r="R351" s="341"/>
      <c r="S351" s="341"/>
      <c r="T351" s="341"/>
      <c r="U351" s="341"/>
      <c r="V351" s="341"/>
      <c r="W351" s="341"/>
      <c r="X351" s="341"/>
      <c r="Y351" s="341"/>
      <c r="Z351" s="344"/>
      <c r="AA351" s="344"/>
      <c r="AB351" s="666"/>
      <c r="AC351" s="251"/>
      <c r="AD351" s="186"/>
      <c r="AE351" s="180"/>
      <c r="AF351" s="180"/>
      <c r="AG351" s="180"/>
      <c r="AH351" s="180"/>
      <c r="AI351" s="180"/>
      <c r="AJ351" s="180"/>
    </row>
    <row r="352" spans="1:36" ht="21" customHeight="1" thickBot="1" x14ac:dyDescent="0.45">
      <c r="A352" s="180"/>
      <c r="B352" s="341"/>
      <c r="C352" s="341"/>
      <c r="D352" s="180"/>
      <c r="E352" s="536"/>
      <c r="F352" s="536"/>
      <c r="G352" s="341"/>
      <c r="H352" s="341"/>
      <c r="I352" s="341"/>
      <c r="J352" s="341"/>
      <c r="K352" s="341"/>
      <c r="L352" s="341"/>
      <c r="M352" s="341"/>
      <c r="N352" s="341"/>
      <c r="O352" s="341"/>
      <c r="P352" s="341"/>
      <c r="Q352" s="341"/>
      <c r="R352" s="341"/>
      <c r="S352" s="341"/>
      <c r="T352" s="341"/>
      <c r="U352" s="341"/>
      <c r="V352" s="341"/>
      <c r="W352" s="341"/>
      <c r="X352" s="341"/>
      <c r="Y352" s="341"/>
      <c r="Z352" s="344"/>
      <c r="AA352" s="344"/>
      <c r="AB352" s="666"/>
      <c r="AC352" s="251"/>
      <c r="AD352" s="186"/>
      <c r="AE352" s="180"/>
      <c r="AF352" s="180"/>
      <c r="AG352" s="180"/>
      <c r="AH352" s="180"/>
      <c r="AI352" s="180"/>
      <c r="AJ352" s="180"/>
    </row>
    <row r="353" spans="1:36" ht="21" customHeight="1" thickBot="1" x14ac:dyDescent="0.45">
      <c r="A353" s="180"/>
      <c r="B353" s="341"/>
      <c r="C353" s="341"/>
      <c r="D353" s="180"/>
      <c r="E353" s="536"/>
      <c r="F353" s="536"/>
      <c r="G353" s="341"/>
      <c r="H353" s="341"/>
      <c r="I353" s="341"/>
      <c r="J353" s="341"/>
      <c r="K353" s="341"/>
      <c r="L353" s="341"/>
      <c r="M353" s="341"/>
      <c r="N353" s="341"/>
      <c r="O353" s="341"/>
      <c r="P353" s="341"/>
      <c r="Q353" s="341"/>
      <c r="R353" s="341"/>
      <c r="S353" s="341"/>
      <c r="T353" s="341"/>
      <c r="U353" s="341"/>
      <c r="V353" s="341"/>
      <c r="W353" s="341"/>
      <c r="X353" s="341"/>
      <c r="Y353" s="341"/>
      <c r="Z353" s="344"/>
      <c r="AA353" s="344"/>
      <c r="AB353" s="666"/>
      <c r="AC353" s="251"/>
      <c r="AD353" s="186"/>
      <c r="AE353" s="180"/>
      <c r="AF353" s="180"/>
      <c r="AG353" s="180"/>
      <c r="AH353" s="180"/>
      <c r="AI353" s="180"/>
      <c r="AJ353" s="180"/>
    </row>
    <row r="354" spans="1:36" ht="21" customHeight="1" thickBot="1" x14ac:dyDescent="0.45">
      <c r="A354" s="180"/>
      <c r="B354" s="341"/>
      <c r="C354" s="341"/>
      <c r="D354" s="180"/>
      <c r="E354" s="536"/>
      <c r="F354" s="536"/>
      <c r="G354" s="341"/>
      <c r="H354" s="341"/>
      <c r="I354" s="341"/>
      <c r="J354" s="341"/>
      <c r="K354" s="341"/>
      <c r="L354" s="341"/>
      <c r="M354" s="341"/>
      <c r="N354" s="341"/>
      <c r="O354" s="341"/>
      <c r="P354" s="341"/>
      <c r="Q354" s="341"/>
      <c r="R354" s="341"/>
      <c r="S354" s="341"/>
      <c r="T354" s="341"/>
      <c r="U354" s="341"/>
      <c r="V354" s="341"/>
      <c r="W354" s="341"/>
      <c r="X354" s="341"/>
      <c r="Y354" s="341"/>
      <c r="Z354" s="344"/>
      <c r="AA354" s="344"/>
      <c r="AB354" s="666"/>
      <c r="AC354" s="251"/>
      <c r="AD354" s="186"/>
      <c r="AE354" s="180"/>
      <c r="AF354" s="180"/>
      <c r="AG354" s="180"/>
      <c r="AH354" s="180"/>
      <c r="AI354" s="180"/>
      <c r="AJ354" s="180"/>
    </row>
    <row r="355" spans="1:36" ht="21" customHeight="1" thickBot="1" x14ac:dyDescent="0.45">
      <c r="A355" s="180"/>
      <c r="B355" s="341"/>
      <c r="C355" s="341"/>
      <c r="D355" s="180"/>
      <c r="E355" s="536"/>
      <c r="F355" s="536"/>
      <c r="G355" s="341"/>
      <c r="H355" s="341"/>
      <c r="I355" s="341"/>
      <c r="J355" s="341"/>
      <c r="K355" s="341"/>
      <c r="L355" s="341"/>
      <c r="M355" s="341"/>
      <c r="N355" s="341"/>
      <c r="O355" s="341"/>
      <c r="P355" s="341"/>
      <c r="Q355" s="341"/>
      <c r="R355" s="341"/>
      <c r="S355" s="341"/>
      <c r="T355" s="341"/>
      <c r="U355" s="341"/>
      <c r="V355" s="341"/>
      <c r="W355" s="341"/>
      <c r="X355" s="341"/>
      <c r="Y355" s="341"/>
      <c r="Z355" s="344"/>
      <c r="AA355" s="344"/>
      <c r="AB355" s="666"/>
      <c r="AC355" s="251"/>
      <c r="AD355" s="186"/>
      <c r="AE355" s="180"/>
      <c r="AF355" s="180"/>
      <c r="AG355" s="180"/>
      <c r="AH355" s="180"/>
      <c r="AI355" s="180"/>
      <c r="AJ355" s="180"/>
    </row>
    <row r="356" spans="1:36" ht="21" customHeight="1" thickBot="1" x14ac:dyDescent="0.45">
      <c r="A356" s="180"/>
      <c r="B356" s="341"/>
      <c r="C356" s="341"/>
      <c r="D356" s="180"/>
      <c r="E356" s="536"/>
      <c r="F356" s="536"/>
      <c r="G356" s="341"/>
      <c r="H356" s="341"/>
      <c r="I356" s="341"/>
      <c r="J356" s="341"/>
      <c r="K356" s="341"/>
      <c r="L356" s="341"/>
      <c r="M356" s="341"/>
      <c r="N356" s="341"/>
      <c r="O356" s="341"/>
      <c r="P356" s="341"/>
      <c r="Q356" s="341"/>
      <c r="R356" s="341"/>
      <c r="S356" s="341"/>
      <c r="T356" s="341"/>
      <c r="U356" s="341"/>
      <c r="V356" s="341"/>
      <c r="W356" s="341"/>
      <c r="X356" s="341"/>
      <c r="Y356" s="341"/>
      <c r="Z356" s="344"/>
      <c r="AA356" s="344"/>
      <c r="AB356" s="666"/>
      <c r="AC356" s="251"/>
      <c r="AD356" s="186"/>
      <c r="AE356" s="180"/>
      <c r="AF356" s="180"/>
      <c r="AG356" s="180"/>
      <c r="AH356" s="180"/>
      <c r="AI356" s="180"/>
      <c r="AJ356" s="180"/>
    </row>
    <row r="357" spans="1:36" ht="21" customHeight="1" thickBot="1" x14ac:dyDescent="0.45">
      <c r="A357" s="180"/>
      <c r="B357" s="341"/>
      <c r="C357" s="341"/>
      <c r="D357" s="180"/>
      <c r="E357" s="536"/>
      <c r="F357" s="536"/>
      <c r="G357" s="341"/>
      <c r="H357" s="341"/>
      <c r="I357" s="341"/>
      <c r="J357" s="341"/>
      <c r="K357" s="341"/>
      <c r="L357" s="341"/>
      <c r="M357" s="341"/>
      <c r="N357" s="341"/>
      <c r="O357" s="341"/>
      <c r="P357" s="341"/>
      <c r="Q357" s="341"/>
      <c r="R357" s="341"/>
      <c r="S357" s="341"/>
      <c r="T357" s="341"/>
      <c r="U357" s="341"/>
      <c r="V357" s="341"/>
      <c r="W357" s="341"/>
      <c r="X357" s="341"/>
      <c r="Y357" s="341"/>
      <c r="Z357" s="344"/>
      <c r="AA357" s="344"/>
      <c r="AB357" s="666"/>
      <c r="AC357" s="251"/>
      <c r="AD357" s="186"/>
      <c r="AE357" s="180"/>
      <c r="AF357" s="180"/>
      <c r="AG357" s="180"/>
      <c r="AH357" s="180"/>
      <c r="AI357" s="180"/>
      <c r="AJ357" s="180"/>
    </row>
    <row r="358" spans="1:36" ht="21" customHeight="1" thickBot="1" x14ac:dyDescent="0.45">
      <c r="A358" s="180"/>
      <c r="B358" s="341"/>
      <c r="C358" s="341"/>
      <c r="D358" s="180"/>
      <c r="E358" s="536"/>
      <c r="F358" s="536"/>
      <c r="G358" s="341"/>
      <c r="H358" s="341"/>
      <c r="I358" s="341"/>
      <c r="J358" s="341"/>
      <c r="K358" s="341"/>
      <c r="L358" s="341"/>
      <c r="M358" s="341"/>
      <c r="N358" s="341"/>
      <c r="O358" s="341"/>
      <c r="P358" s="341"/>
      <c r="Q358" s="341"/>
      <c r="R358" s="341"/>
      <c r="S358" s="341"/>
      <c r="T358" s="341"/>
      <c r="U358" s="341"/>
      <c r="V358" s="341"/>
      <c r="W358" s="341"/>
      <c r="X358" s="341"/>
      <c r="Y358" s="341"/>
      <c r="Z358" s="344"/>
      <c r="AA358" s="344"/>
      <c r="AB358" s="666"/>
      <c r="AC358" s="251"/>
      <c r="AD358" s="186"/>
      <c r="AE358" s="180"/>
      <c r="AF358" s="180"/>
      <c r="AG358" s="180"/>
      <c r="AH358" s="180"/>
      <c r="AI358" s="180"/>
      <c r="AJ358" s="180"/>
    </row>
    <row r="359" spans="1:36" ht="21" customHeight="1" thickBot="1" x14ac:dyDescent="0.45">
      <c r="A359" s="180"/>
      <c r="B359" s="341"/>
      <c r="C359" s="341"/>
      <c r="D359" s="180"/>
      <c r="E359" s="536"/>
      <c r="F359" s="536"/>
      <c r="G359" s="341"/>
      <c r="H359" s="341"/>
      <c r="I359" s="341"/>
      <c r="J359" s="341"/>
      <c r="K359" s="341"/>
      <c r="L359" s="341"/>
      <c r="M359" s="341"/>
      <c r="N359" s="341"/>
      <c r="O359" s="341"/>
      <c r="P359" s="341"/>
      <c r="Q359" s="341"/>
      <c r="R359" s="341"/>
      <c r="S359" s="341"/>
      <c r="T359" s="341"/>
      <c r="U359" s="341"/>
      <c r="V359" s="341"/>
      <c r="W359" s="341"/>
      <c r="X359" s="341"/>
      <c r="Y359" s="341"/>
      <c r="Z359" s="344"/>
      <c r="AA359" s="344"/>
      <c r="AB359" s="666"/>
      <c r="AC359" s="251"/>
      <c r="AD359" s="186"/>
      <c r="AE359" s="180"/>
      <c r="AF359" s="180"/>
      <c r="AG359" s="180"/>
      <c r="AH359" s="180"/>
      <c r="AI359" s="180"/>
      <c r="AJ359" s="180"/>
    </row>
    <row r="360" spans="1:36" ht="21" customHeight="1" thickBot="1" x14ac:dyDescent="0.45">
      <c r="A360" s="180"/>
      <c r="B360" s="341"/>
      <c r="C360" s="341"/>
      <c r="D360" s="180"/>
      <c r="E360" s="536"/>
      <c r="F360" s="536"/>
      <c r="G360" s="341"/>
      <c r="H360" s="341"/>
      <c r="I360" s="341"/>
      <c r="J360" s="341"/>
      <c r="K360" s="341"/>
      <c r="L360" s="341"/>
      <c r="M360" s="341"/>
      <c r="N360" s="341"/>
      <c r="O360" s="341"/>
      <c r="P360" s="341"/>
      <c r="Q360" s="341"/>
      <c r="R360" s="341"/>
      <c r="S360" s="341"/>
      <c r="T360" s="341"/>
      <c r="U360" s="341"/>
      <c r="V360" s="341"/>
      <c r="W360" s="341"/>
      <c r="X360" s="341"/>
      <c r="Y360" s="341"/>
      <c r="Z360" s="344"/>
      <c r="AA360" s="344"/>
      <c r="AB360" s="666"/>
      <c r="AC360" s="251"/>
      <c r="AD360" s="186"/>
      <c r="AE360" s="180"/>
      <c r="AF360" s="180"/>
      <c r="AG360" s="180"/>
      <c r="AH360" s="180"/>
      <c r="AI360" s="180"/>
      <c r="AJ360" s="180"/>
    </row>
    <row r="361" spans="1:36" ht="21" customHeight="1" thickBot="1" x14ac:dyDescent="0.45">
      <c r="A361" s="180"/>
      <c r="B361" s="341"/>
      <c r="C361" s="341"/>
      <c r="D361" s="180"/>
      <c r="E361" s="536"/>
      <c r="F361" s="536"/>
      <c r="G361" s="341"/>
      <c r="H361" s="341"/>
      <c r="I361" s="341"/>
      <c r="J361" s="341"/>
      <c r="K361" s="341"/>
      <c r="L361" s="341"/>
      <c r="M361" s="341"/>
      <c r="N361" s="341"/>
      <c r="O361" s="341"/>
      <c r="P361" s="341"/>
      <c r="Q361" s="341"/>
      <c r="R361" s="341"/>
      <c r="S361" s="341"/>
      <c r="T361" s="341"/>
      <c r="U361" s="341"/>
      <c r="V361" s="341"/>
      <c r="W361" s="341"/>
      <c r="X361" s="341"/>
      <c r="Y361" s="341"/>
      <c r="Z361" s="344"/>
      <c r="AA361" s="344"/>
      <c r="AB361" s="666"/>
      <c r="AC361" s="251"/>
      <c r="AD361" s="186"/>
      <c r="AE361" s="180"/>
      <c r="AF361" s="180"/>
      <c r="AG361" s="180"/>
      <c r="AH361" s="180"/>
      <c r="AI361" s="180"/>
      <c r="AJ361" s="180"/>
    </row>
    <row r="362" spans="1:36" ht="21" customHeight="1" thickBot="1" x14ac:dyDescent="0.45">
      <c r="A362" s="180"/>
      <c r="B362" s="341"/>
      <c r="C362" s="341"/>
      <c r="D362" s="180"/>
      <c r="E362" s="536"/>
      <c r="F362" s="536"/>
      <c r="G362" s="341"/>
      <c r="H362" s="341"/>
      <c r="I362" s="341"/>
      <c r="J362" s="341"/>
      <c r="K362" s="341"/>
      <c r="L362" s="341"/>
      <c r="M362" s="341"/>
      <c r="N362" s="341"/>
      <c r="O362" s="341"/>
      <c r="P362" s="341"/>
      <c r="Q362" s="341"/>
      <c r="R362" s="341"/>
      <c r="S362" s="341"/>
      <c r="T362" s="341"/>
      <c r="U362" s="341"/>
      <c r="V362" s="341"/>
      <c r="W362" s="341"/>
      <c r="X362" s="341"/>
      <c r="Y362" s="341"/>
      <c r="Z362" s="344"/>
      <c r="AA362" s="344"/>
      <c r="AB362" s="666"/>
      <c r="AC362" s="251"/>
      <c r="AD362" s="186"/>
      <c r="AE362" s="180"/>
      <c r="AF362" s="180"/>
      <c r="AG362" s="180"/>
      <c r="AH362" s="180"/>
      <c r="AI362" s="180"/>
      <c r="AJ362" s="180"/>
    </row>
    <row r="363" spans="1:36" ht="21" customHeight="1" thickBot="1" x14ac:dyDescent="0.45">
      <c r="A363" s="180"/>
      <c r="B363" s="341"/>
      <c r="C363" s="341"/>
      <c r="D363" s="180"/>
      <c r="E363" s="536"/>
      <c r="F363" s="536"/>
      <c r="G363" s="341"/>
      <c r="H363" s="341"/>
      <c r="I363" s="341"/>
      <c r="J363" s="341"/>
      <c r="K363" s="341"/>
      <c r="L363" s="341"/>
      <c r="M363" s="341"/>
      <c r="N363" s="341"/>
      <c r="O363" s="341"/>
      <c r="P363" s="341"/>
      <c r="Q363" s="341"/>
      <c r="R363" s="341"/>
      <c r="S363" s="341"/>
      <c r="T363" s="341"/>
      <c r="U363" s="341"/>
      <c r="V363" s="341"/>
      <c r="W363" s="341"/>
      <c r="X363" s="341"/>
      <c r="Y363" s="341"/>
      <c r="Z363" s="344"/>
      <c r="AA363" s="344"/>
      <c r="AB363" s="666"/>
      <c r="AC363" s="251"/>
      <c r="AD363" s="186"/>
      <c r="AE363" s="180"/>
      <c r="AF363" s="180"/>
      <c r="AG363" s="180"/>
      <c r="AH363" s="180"/>
      <c r="AI363" s="180"/>
      <c r="AJ363" s="180"/>
    </row>
    <row r="364" spans="1:36" ht="21" customHeight="1" thickBot="1" x14ac:dyDescent="0.45">
      <c r="A364" s="180"/>
      <c r="B364" s="341"/>
      <c r="C364" s="341"/>
      <c r="D364" s="180"/>
      <c r="E364" s="536"/>
      <c r="F364" s="536"/>
      <c r="G364" s="341"/>
      <c r="H364" s="341"/>
      <c r="I364" s="341"/>
      <c r="J364" s="341"/>
      <c r="K364" s="341"/>
      <c r="L364" s="341"/>
      <c r="M364" s="341"/>
      <c r="N364" s="341"/>
      <c r="O364" s="341"/>
      <c r="P364" s="341"/>
      <c r="Q364" s="341"/>
      <c r="R364" s="341"/>
      <c r="S364" s="341"/>
      <c r="T364" s="341"/>
      <c r="U364" s="341"/>
      <c r="V364" s="341"/>
      <c r="W364" s="341"/>
      <c r="X364" s="341"/>
      <c r="Y364" s="341"/>
      <c r="Z364" s="344"/>
      <c r="AA364" s="344"/>
      <c r="AB364" s="666"/>
      <c r="AC364" s="251"/>
      <c r="AD364" s="186"/>
      <c r="AE364" s="180"/>
      <c r="AF364" s="180"/>
      <c r="AG364" s="180"/>
      <c r="AH364" s="180"/>
      <c r="AI364" s="180"/>
      <c r="AJ364" s="180"/>
    </row>
    <row r="365" spans="1:36" ht="21" customHeight="1" thickBot="1" x14ac:dyDescent="0.45">
      <c r="A365" s="180"/>
      <c r="B365" s="341"/>
      <c r="C365" s="341"/>
      <c r="D365" s="180"/>
      <c r="E365" s="536"/>
      <c r="F365" s="536"/>
      <c r="G365" s="341"/>
      <c r="H365" s="341"/>
      <c r="I365" s="341"/>
      <c r="J365" s="341"/>
      <c r="K365" s="341"/>
      <c r="L365" s="341"/>
      <c r="M365" s="341"/>
      <c r="N365" s="341"/>
      <c r="O365" s="341"/>
      <c r="P365" s="341"/>
      <c r="Q365" s="341"/>
      <c r="R365" s="341"/>
      <c r="S365" s="341"/>
      <c r="T365" s="341"/>
      <c r="U365" s="341"/>
      <c r="V365" s="341"/>
      <c r="W365" s="341"/>
      <c r="X365" s="341"/>
      <c r="Y365" s="341"/>
      <c r="Z365" s="344"/>
      <c r="AA365" s="344"/>
      <c r="AB365" s="666"/>
      <c r="AC365" s="251"/>
      <c r="AD365" s="186"/>
      <c r="AE365" s="180"/>
      <c r="AF365" s="180"/>
      <c r="AG365" s="180"/>
      <c r="AH365" s="180"/>
      <c r="AI365" s="180"/>
      <c r="AJ365" s="180"/>
    </row>
    <row r="366" spans="1:36" ht="21" customHeight="1" thickBot="1" x14ac:dyDescent="0.45">
      <c r="A366" s="180"/>
      <c r="B366" s="341"/>
      <c r="C366" s="341"/>
      <c r="D366" s="180"/>
      <c r="E366" s="536"/>
      <c r="F366" s="536"/>
      <c r="G366" s="341"/>
      <c r="H366" s="341"/>
      <c r="I366" s="341"/>
      <c r="J366" s="341"/>
      <c r="K366" s="341"/>
      <c r="L366" s="341"/>
      <c r="M366" s="341"/>
      <c r="N366" s="341"/>
      <c r="O366" s="341"/>
      <c r="P366" s="341"/>
      <c r="Q366" s="341"/>
      <c r="R366" s="341"/>
      <c r="S366" s="341"/>
      <c r="T366" s="341"/>
      <c r="U366" s="341"/>
      <c r="V366" s="341"/>
      <c r="W366" s="341"/>
      <c r="X366" s="341"/>
      <c r="Y366" s="341"/>
      <c r="Z366" s="344"/>
      <c r="AA366" s="344"/>
      <c r="AB366" s="666"/>
      <c r="AC366" s="251"/>
      <c r="AD366" s="186"/>
      <c r="AE366" s="180"/>
      <c r="AF366" s="180"/>
      <c r="AG366" s="180"/>
      <c r="AH366" s="180"/>
      <c r="AI366" s="180"/>
      <c r="AJ366" s="180"/>
    </row>
    <row r="367" spans="1:36" ht="21" customHeight="1" thickBot="1" x14ac:dyDescent="0.45">
      <c r="A367" s="180"/>
      <c r="B367" s="341"/>
      <c r="C367" s="341"/>
      <c r="D367" s="180"/>
      <c r="E367" s="536"/>
      <c r="F367" s="536"/>
      <c r="G367" s="341"/>
      <c r="H367" s="341"/>
      <c r="I367" s="341"/>
      <c r="J367" s="341"/>
      <c r="K367" s="341"/>
      <c r="L367" s="341"/>
      <c r="M367" s="341"/>
      <c r="N367" s="341"/>
      <c r="O367" s="341"/>
      <c r="P367" s="341"/>
      <c r="Q367" s="341"/>
      <c r="R367" s="341"/>
      <c r="S367" s="341"/>
      <c r="T367" s="341"/>
      <c r="U367" s="341"/>
      <c r="V367" s="341"/>
      <c r="W367" s="341"/>
      <c r="X367" s="341"/>
      <c r="Y367" s="341"/>
      <c r="Z367" s="344"/>
      <c r="AA367" s="344"/>
      <c r="AB367" s="666"/>
      <c r="AC367" s="251"/>
      <c r="AD367" s="186"/>
      <c r="AE367" s="180"/>
      <c r="AF367" s="180"/>
      <c r="AG367" s="180"/>
      <c r="AH367" s="180"/>
      <c r="AI367" s="180"/>
      <c r="AJ367" s="180"/>
    </row>
    <row r="368" spans="1:36" ht="21" customHeight="1" thickBot="1" x14ac:dyDescent="0.45">
      <c r="A368" s="180"/>
      <c r="B368" s="341"/>
      <c r="C368" s="341"/>
      <c r="D368" s="180"/>
      <c r="E368" s="536"/>
      <c r="F368" s="536"/>
      <c r="G368" s="341"/>
      <c r="H368" s="341"/>
      <c r="I368" s="341"/>
      <c r="J368" s="341"/>
      <c r="K368" s="341"/>
      <c r="L368" s="341"/>
      <c r="M368" s="341"/>
      <c r="N368" s="341"/>
      <c r="O368" s="341"/>
      <c r="P368" s="341"/>
      <c r="Q368" s="341"/>
      <c r="R368" s="341"/>
      <c r="S368" s="341"/>
      <c r="T368" s="341"/>
      <c r="U368" s="341"/>
      <c r="V368" s="341"/>
      <c r="W368" s="341"/>
      <c r="X368" s="341"/>
      <c r="Y368" s="341"/>
      <c r="Z368" s="344"/>
      <c r="AA368" s="344"/>
      <c r="AB368" s="666"/>
      <c r="AC368" s="251"/>
      <c r="AD368" s="186"/>
      <c r="AE368" s="180"/>
      <c r="AF368" s="180"/>
      <c r="AG368" s="180"/>
      <c r="AH368" s="180"/>
      <c r="AI368" s="180"/>
      <c r="AJ368" s="180"/>
    </row>
    <row r="369" spans="1:36" ht="21" customHeight="1" thickBot="1" x14ac:dyDescent="0.45">
      <c r="A369" s="180"/>
      <c r="B369" s="341"/>
      <c r="C369" s="341"/>
      <c r="D369" s="180"/>
      <c r="E369" s="536"/>
      <c r="F369" s="536"/>
      <c r="G369" s="341"/>
      <c r="H369" s="341"/>
      <c r="I369" s="341"/>
      <c r="J369" s="341"/>
      <c r="K369" s="341"/>
      <c r="L369" s="341"/>
      <c r="M369" s="341"/>
      <c r="N369" s="341"/>
      <c r="O369" s="341"/>
      <c r="P369" s="341"/>
      <c r="Q369" s="341"/>
      <c r="R369" s="341"/>
      <c r="S369" s="341"/>
      <c r="T369" s="341"/>
      <c r="U369" s="341"/>
      <c r="V369" s="341"/>
      <c r="W369" s="341"/>
      <c r="X369" s="341"/>
      <c r="Y369" s="341"/>
      <c r="Z369" s="344"/>
      <c r="AA369" s="344"/>
      <c r="AB369" s="666"/>
      <c r="AC369" s="251"/>
      <c r="AD369" s="186"/>
      <c r="AE369" s="180"/>
      <c r="AF369" s="180"/>
      <c r="AG369" s="180"/>
      <c r="AH369" s="180"/>
      <c r="AI369" s="180"/>
      <c r="AJ369" s="180"/>
    </row>
    <row r="370" spans="1:36" ht="21" customHeight="1" thickBot="1" x14ac:dyDescent="0.45">
      <c r="A370" s="180"/>
      <c r="B370" s="341"/>
      <c r="C370" s="341"/>
      <c r="D370" s="180"/>
      <c r="E370" s="536"/>
      <c r="F370" s="536"/>
      <c r="G370" s="341"/>
      <c r="H370" s="341"/>
      <c r="I370" s="341"/>
      <c r="J370" s="341"/>
      <c r="K370" s="341"/>
      <c r="L370" s="341"/>
      <c r="M370" s="341"/>
      <c r="N370" s="341"/>
      <c r="O370" s="341"/>
      <c r="P370" s="341"/>
      <c r="Q370" s="341"/>
      <c r="R370" s="341"/>
      <c r="S370" s="341"/>
      <c r="T370" s="341"/>
      <c r="U370" s="341"/>
      <c r="V370" s="341"/>
      <c r="W370" s="341"/>
      <c r="X370" s="341"/>
      <c r="Y370" s="341"/>
      <c r="Z370" s="344"/>
      <c r="AA370" s="344"/>
      <c r="AB370" s="666"/>
      <c r="AC370" s="251"/>
      <c r="AD370" s="186"/>
      <c r="AE370" s="180"/>
      <c r="AF370" s="180"/>
      <c r="AG370" s="180"/>
      <c r="AH370" s="180"/>
      <c r="AI370" s="180"/>
      <c r="AJ370" s="180"/>
    </row>
    <row r="371" spans="1:36" ht="21" customHeight="1" thickBot="1" x14ac:dyDescent="0.45">
      <c r="A371" s="180"/>
      <c r="B371" s="341"/>
      <c r="C371" s="341"/>
      <c r="D371" s="180"/>
      <c r="E371" s="536"/>
      <c r="F371" s="536"/>
      <c r="G371" s="341"/>
      <c r="H371" s="341"/>
      <c r="I371" s="341"/>
      <c r="J371" s="341"/>
      <c r="K371" s="341"/>
      <c r="L371" s="341"/>
      <c r="M371" s="341"/>
      <c r="N371" s="341"/>
      <c r="O371" s="341"/>
      <c r="P371" s="341"/>
      <c r="Q371" s="341"/>
      <c r="R371" s="341"/>
      <c r="S371" s="341"/>
      <c r="T371" s="341"/>
      <c r="U371" s="341"/>
      <c r="V371" s="341"/>
      <c r="W371" s="341"/>
      <c r="X371" s="341"/>
      <c r="Y371" s="341"/>
      <c r="Z371" s="344"/>
      <c r="AA371" s="344"/>
      <c r="AB371" s="666"/>
      <c r="AC371" s="251"/>
      <c r="AD371" s="186"/>
      <c r="AE371" s="180"/>
      <c r="AF371" s="180"/>
      <c r="AG371" s="180"/>
      <c r="AH371" s="180"/>
      <c r="AI371" s="180"/>
      <c r="AJ371" s="180"/>
    </row>
    <row r="372" spans="1:36" ht="21" customHeight="1" thickBot="1" x14ac:dyDescent="0.45">
      <c r="A372" s="180"/>
      <c r="B372" s="341"/>
      <c r="C372" s="341"/>
      <c r="D372" s="180"/>
      <c r="E372" s="536"/>
      <c r="F372" s="536"/>
      <c r="G372" s="341"/>
      <c r="H372" s="341"/>
      <c r="I372" s="341"/>
      <c r="J372" s="341"/>
      <c r="K372" s="341"/>
      <c r="L372" s="341"/>
      <c r="M372" s="341"/>
      <c r="N372" s="341"/>
      <c r="O372" s="341"/>
      <c r="P372" s="341"/>
      <c r="Q372" s="341"/>
      <c r="R372" s="341"/>
      <c r="S372" s="341"/>
      <c r="T372" s="341"/>
      <c r="U372" s="341"/>
      <c r="V372" s="341"/>
      <c r="W372" s="341"/>
      <c r="X372" s="341"/>
      <c r="Y372" s="341"/>
      <c r="Z372" s="344"/>
      <c r="AA372" s="344"/>
      <c r="AB372" s="666"/>
      <c r="AC372" s="251"/>
      <c r="AD372" s="186"/>
      <c r="AE372" s="180"/>
      <c r="AF372" s="180"/>
      <c r="AG372" s="180"/>
      <c r="AH372" s="180"/>
      <c r="AI372" s="180"/>
      <c r="AJ372" s="180"/>
    </row>
    <row r="373" spans="1:36" ht="21" customHeight="1" thickBot="1" x14ac:dyDescent="0.45">
      <c r="A373" s="180"/>
      <c r="B373" s="341"/>
      <c r="C373" s="341"/>
      <c r="D373" s="180"/>
      <c r="E373" s="536"/>
      <c r="F373" s="536"/>
      <c r="G373" s="341"/>
      <c r="H373" s="341"/>
      <c r="I373" s="341"/>
      <c r="J373" s="341"/>
      <c r="K373" s="341"/>
      <c r="L373" s="341"/>
      <c r="M373" s="341"/>
      <c r="N373" s="341"/>
      <c r="O373" s="341"/>
      <c r="P373" s="341"/>
      <c r="Q373" s="341"/>
      <c r="R373" s="341"/>
      <c r="S373" s="341"/>
      <c r="T373" s="341"/>
      <c r="U373" s="341"/>
      <c r="V373" s="341"/>
      <c r="W373" s="341"/>
      <c r="X373" s="341"/>
      <c r="Y373" s="341"/>
      <c r="Z373" s="344"/>
      <c r="AA373" s="344"/>
      <c r="AB373" s="666"/>
      <c r="AC373" s="251"/>
      <c r="AD373" s="186"/>
      <c r="AE373" s="180"/>
      <c r="AF373" s="180"/>
      <c r="AG373" s="180"/>
      <c r="AH373" s="180"/>
      <c r="AI373" s="180"/>
      <c r="AJ373" s="180"/>
    </row>
    <row r="374" spans="1:36" ht="21" customHeight="1" thickBot="1" x14ac:dyDescent="0.45">
      <c r="A374" s="180"/>
      <c r="B374" s="341"/>
      <c r="C374" s="341"/>
      <c r="D374" s="180"/>
      <c r="E374" s="536"/>
      <c r="F374" s="536"/>
      <c r="G374" s="341"/>
      <c r="H374" s="341"/>
      <c r="I374" s="341"/>
      <c r="J374" s="341"/>
      <c r="K374" s="341"/>
      <c r="L374" s="341"/>
      <c r="M374" s="341"/>
      <c r="N374" s="341"/>
      <c r="O374" s="341"/>
      <c r="P374" s="341"/>
      <c r="Q374" s="341"/>
      <c r="R374" s="341"/>
      <c r="S374" s="341"/>
      <c r="T374" s="341"/>
      <c r="U374" s="341"/>
      <c r="V374" s="341"/>
      <c r="W374" s="341"/>
      <c r="X374" s="341"/>
      <c r="Y374" s="341"/>
      <c r="Z374" s="344"/>
      <c r="AA374" s="344"/>
      <c r="AB374" s="666"/>
      <c r="AC374" s="251"/>
      <c r="AD374" s="186"/>
      <c r="AE374" s="180"/>
      <c r="AF374" s="180"/>
      <c r="AG374" s="180"/>
      <c r="AH374" s="180"/>
      <c r="AI374" s="180"/>
      <c r="AJ374" s="180"/>
    </row>
    <row r="375" spans="1:36" ht="21" customHeight="1" thickBot="1" x14ac:dyDescent="0.45">
      <c r="A375" s="180"/>
      <c r="B375" s="341"/>
      <c r="C375" s="341"/>
      <c r="D375" s="180"/>
      <c r="E375" s="536"/>
      <c r="F375" s="536"/>
      <c r="G375" s="341"/>
      <c r="H375" s="341"/>
      <c r="I375" s="341"/>
      <c r="J375" s="341"/>
      <c r="K375" s="341"/>
      <c r="L375" s="341"/>
      <c r="M375" s="341"/>
      <c r="N375" s="341"/>
      <c r="O375" s="341"/>
      <c r="P375" s="341"/>
      <c r="Q375" s="341"/>
      <c r="R375" s="341"/>
      <c r="S375" s="341"/>
      <c r="T375" s="341"/>
      <c r="U375" s="341"/>
      <c r="V375" s="341"/>
      <c r="W375" s="341"/>
      <c r="X375" s="341"/>
      <c r="Y375" s="341"/>
      <c r="Z375" s="344"/>
      <c r="AA375" s="344"/>
      <c r="AB375" s="666"/>
      <c r="AC375" s="251"/>
      <c r="AD375" s="186"/>
      <c r="AE375" s="180"/>
      <c r="AF375" s="180"/>
      <c r="AG375" s="180"/>
      <c r="AH375" s="180"/>
      <c r="AI375" s="180"/>
      <c r="AJ375" s="180"/>
    </row>
    <row r="376" spans="1:36" ht="21" customHeight="1" thickBot="1" x14ac:dyDescent="0.45">
      <c r="A376" s="180"/>
      <c r="B376" s="341"/>
      <c r="C376" s="341"/>
      <c r="D376" s="180"/>
      <c r="E376" s="536"/>
      <c r="F376" s="536"/>
      <c r="G376" s="341"/>
      <c r="H376" s="341"/>
      <c r="I376" s="341"/>
      <c r="J376" s="341"/>
      <c r="K376" s="341"/>
      <c r="L376" s="341"/>
      <c r="M376" s="341"/>
      <c r="N376" s="341"/>
      <c r="O376" s="341"/>
      <c r="P376" s="341"/>
      <c r="Q376" s="341"/>
      <c r="R376" s="341"/>
      <c r="S376" s="341"/>
      <c r="T376" s="341"/>
      <c r="U376" s="341"/>
      <c r="V376" s="341"/>
      <c r="W376" s="341"/>
      <c r="X376" s="341"/>
      <c r="Y376" s="341"/>
      <c r="Z376" s="344"/>
      <c r="AA376" s="344"/>
      <c r="AB376" s="666"/>
      <c r="AC376" s="251"/>
      <c r="AD376" s="186"/>
      <c r="AE376" s="180"/>
      <c r="AF376" s="180"/>
      <c r="AG376" s="180"/>
      <c r="AH376" s="180"/>
      <c r="AI376" s="180"/>
      <c r="AJ376" s="180"/>
    </row>
    <row r="377" spans="1:36" ht="21" customHeight="1" thickBot="1" x14ac:dyDescent="0.45">
      <c r="A377" s="180"/>
      <c r="B377" s="341"/>
      <c r="C377" s="341"/>
      <c r="D377" s="180"/>
      <c r="E377" s="536"/>
      <c r="F377" s="536"/>
      <c r="G377" s="341"/>
      <c r="H377" s="341"/>
      <c r="I377" s="341"/>
      <c r="J377" s="341"/>
      <c r="K377" s="341"/>
      <c r="L377" s="341"/>
      <c r="M377" s="341"/>
      <c r="N377" s="341"/>
      <c r="O377" s="341"/>
      <c r="P377" s="341"/>
      <c r="Q377" s="341"/>
      <c r="R377" s="341"/>
      <c r="S377" s="341"/>
      <c r="T377" s="341"/>
      <c r="U377" s="341"/>
      <c r="V377" s="341"/>
      <c r="W377" s="341"/>
      <c r="X377" s="341"/>
      <c r="Y377" s="341"/>
      <c r="Z377" s="344"/>
      <c r="AA377" s="344"/>
      <c r="AB377" s="666"/>
      <c r="AC377" s="251"/>
      <c r="AD377" s="186"/>
      <c r="AE377" s="180"/>
      <c r="AF377" s="180"/>
      <c r="AG377" s="180"/>
      <c r="AH377" s="180"/>
      <c r="AI377" s="180"/>
      <c r="AJ377" s="180"/>
    </row>
    <row r="378" spans="1:36" ht="21" customHeight="1" thickBot="1" x14ac:dyDescent="0.45">
      <c r="A378" s="180"/>
      <c r="B378" s="341"/>
      <c r="C378" s="341"/>
      <c r="D378" s="180"/>
      <c r="E378" s="536"/>
      <c r="F378" s="536"/>
      <c r="G378" s="341"/>
      <c r="H378" s="341"/>
      <c r="I378" s="341"/>
      <c r="J378" s="341"/>
      <c r="K378" s="341"/>
      <c r="L378" s="341"/>
      <c r="M378" s="341"/>
      <c r="N378" s="341"/>
      <c r="O378" s="341"/>
      <c r="P378" s="341"/>
      <c r="Q378" s="341"/>
      <c r="R378" s="341"/>
      <c r="S378" s="341"/>
      <c r="T378" s="341"/>
      <c r="U378" s="341"/>
      <c r="V378" s="341"/>
      <c r="W378" s="341"/>
      <c r="X378" s="341"/>
      <c r="Y378" s="341"/>
      <c r="Z378" s="344"/>
      <c r="AA378" s="344"/>
      <c r="AB378" s="666"/>
      <c r="AC378" s="251"/>
      <c r="AD378" s="186"/>
      <c r="AE378" s="180"/>
      <c r="AF378" s="180"/>
      <c r="AG378" s="180"/>
      <c r="AH378" s="180"/>
      <c r="AI378" s="180"/>
      <c r="AJ378" s="180"/>
    </row>
    <row r="379" spans="1:36" ht="21" customHeight="1" thickBot="1" x14ac:dyDescent="0.45">
      <c r="A379" s="180"/>
      <c r="B379" s="341"/>
      <c r="C379" s="341"/>
      <c r="D379" s="180"/>
      <c r="E379" s="536"/>
      <c r="F379" s="536"/>
      <c r="G379" s="341"/>
      <c r="H379" s="341"/>
      <c r="I379" s="341"/>
      <c r="J379" s="341"/>
      <c r="K379" s="341"/>
      <c r="L379" s="341"/>
      <c r="M379" s="341"/>
      <c r="N379" s="341"/>
      <c r="O379" s="341"/>
      <c r="P379" s="341"/>
      <c r="Q379" s="341"/>
      <c r="R379" s="341"/>
      <c r="S379" s="341"/>
      <c r="T379" s="341"/>
      <c r="U379" s="341"/>
      <c r="V379" s="341"/>
      <c r="W379" s="341"/>
      <c r="X379" s="341"/>
      <c r="Y379" s="341"/>
      <c r="Z379" s="344"/>
      <c r="AA379" s="344"/>
      <c r="AB379" s="666"/>
      <c r="AC379" s="251"/>
      <c r="AD379" s="186"/>
      <c r="AE379" s="180"/>
      <c r="AF379" s="180"/>
      <c r="AG379" s="180"/>
      <c r="AH379" s="180"/>
      <c r="AI379" s="180"/>
      <c r="AJ379" s="180"/>
    </row>
    <row r="380" spans="1:36" ht="21" customHeight="1" thickBot="1" x14ac:dyDescent="0.45">
      <c r="A380" s="180"/>
      <c r="B380" s="341"/>
      <c r="C380" s="341"/>
      <c r="D380" s="180"/>
      <c r="E380" s="536"/>
      <c r="F380" s="536"/>
      <c r="G380" s="341"/>
      <c r="H380" s="341"/>
      <c r="I380" s="341"/>
      <c r="J380" s="341"/>
      <c r="K380" s="341"/>
      <c r="L380" s="341"/>
      <c r="M380" s="341"/>
      <c r="N380" s="341"/>
      <c r="O380" s="341"/>
      <c r="P380" s="341"/>
      <c r="Q380" s="341"/>
      <c r="R380" s="341"/>
      <c r="S380" s="341"/>
      <c r="T380" s="341"/>
      <c r="U380" s="341"/>
      <c r="V380" s="341"/>
      <c r="W380" s="341"/>
      <c r="X380" s="341"/>
      <c r="Y380" s="341"/>
      <c r="Z380" s="344"/>
      <c r="AA380" s="344"/>
      <c r="AB380" s="666"/>
      <c r="AC380" s="251"/>
      <c r="AD380" s="186"/>
      <c r="AE380" s="180"/>
      <c r="AF380" s="180"/>
      <c r="AG380" s="180"/>
      <c r="AH380" s="180"/>
      <c r="AI380" s="180"/>
      <c r="AJ380" s="180"/>
    </row>
    <row r="381" spans="1:36" ht="21" customHeight="1" thickBot="1" x14ac:dyDescent="0.45">
      <c r="A381" s="180"/>
      <c r="B381" s="341"/>
      <c r="C381" s="341"/>
      <c r="D381" s="180"/>
      <c r="E381" s="536"/>
      <c r="F381" s="536"/>
      <c r="G381" s="341"/>
      <c r="H381" s="341"/>
      <c r="I381" s="341"/>
      <c r="J381" s="341"/>
      <c r="K381" s="341"/>
      <c r="L381" s="341"/>
      <c r="M381" s="341"/>
      <c r="N381" s="341"/>
      <c r="O381" s="341"/>
      <c r="P381" s="341"/>
      <c r="Q381" s="341"/>
      <c r="R381" s="341"/>
      <c r="S381" s="341"/>
      <c r="T381" s="341"/>
      <c r="U381" s="341"/>
      <c r="V381" s="341"/>
      <c r="W381" s="341"/>
      <c r="X381" s="341"/>
      <c r="Y381" s="341"/>
      <c r="Z381" s="344"/>
      <c r="AA381" s="344"/>
      <c r="AB381" s="666"/>
      <c r="AC381" s="251"/>
      <c r="AD381" s="186"/>
      <c r="AE381" s="180"/>
      <c r="AF381" s="180"/>
      <c r="AG381" s="180"/>
      <c r="AH381" s="180"/>
      <c r="AI381" s="180"/>
      <c r="AJ381" s="180"/>
    </row>
    <row r="382" spans="1:36" ht="21" customHeight="1" thickBot="1" x14ac:dyDescent="0.45">
      <c r="A382" s="180"/>
      <c r="B382" s="341"/>
      <c r="C382" s="341"/>
      <c r="D382" s="180"/>
      <c r="E382" s="536"/>
      <c r="F382" s="536"/>
      <c r="G382" s="341"/>
      <c r="H382" s="341"/>
      <c r="I382" s="341"/>
      <c r="J382" s="341"/>
      <c r="K382" s="341"/>
      <c r="L382" s="341"/>
      <c r="M382" s="341"/>
      <c r="N382" s="341"/>
      <c r="O382" s="341"/>
      <c r="P382" s="341"/>
      <c r="Q382" s="341"/>
      <c r="R382" s="341"/>
      <c r="S382" s="341"/>
      <c r="T382" s="341"/>
      <c r="U382" s="341"/>
      <c r="V382" s="341"/>
      <c r="W382" s="341"/>
      <c r="X382" s="341"/>
      <c r="Y382" s="341"/>
      <c r="Z382" s="344"/>
      <c r="AA382" s="344"/>
      <c r="AB382" s="666"/>
      <c r="AC382" s="251"/>
      <c r="AD382" s="186"/>
      <c r="AE382" s="180"/>
      <c r="AF382" s="180"/>
      <c r="AG382" s="180"/>
      <c r="AH382" s="180"/>
      <c r="AI382" s="180"/>
      <c r="AJ382" s="180"/>
    </row>
    <row r="383" spans="1:36" ht="21" customHeight="1" thickBot="1" x14ac:dyDescent="0.45">
      <c r="A383" s="180"/>
      <c r="B383" s="341"/>
      <c r="C383" s="341"/>
      <c r="D383" s="180"/>
      <c r="E383" s="536"/>
      <c r="F383" s="536"/>
      <c r="G383" s="341"/>
      <c r="H383" s="341"/>
      <c r="I383" s="341"/>
      <c r="J383" s="341"/>
      <c r="K383" s="341"/>
      <c r="L383" s="341"/>
      <c r="M383" s="341"/>
      <c r="N383" s="341"/>
      <c r="O383" s="341"/>
      <c r="P383" s="341"/>
      <c r="Q383" s="341"/>
      <c r="R383" s="341"/>
      <c r="S383" s="341"/>
      <c r="T383" s="341"/>
      <c r="U383" s="341"/>
      <c r="V383" s="341"/>
      <c r="W383" s="341"/>
      <c r="X383" s="341"/>
      <c r="Y383" s="341"/>
      <c r="Z383" s="344"/>
      <c r="AA383" s="344"/>
      <c r="AB383" s="666"/>
      <c r="AC383" s="251"/>
      <c r="AD383" s="186"/>
      <c r="AE383" s="180"/>
      <c r="AF383" s="180"/>
      <c r="AG383" s="180"/>
      <c r="AH383" s="180"/>
      <c r="AI383" s="180"/>
      <c r="AJ383" s="180"/>
    </row>
    <row r="384" spans="1:36" ht="21" customHeight="1" thickBot="1" x14ac:dyDescent="0.45">
      <c r="A384" s="180"/>
      <c r="B384" s="341"/>
      <c r="C384" s="341"/>
      <c r="D384" s="180"/>
      <c r="E384" s="536"/>
      <c r="F384" s="536"/>
      <c r="G384" s="341"/>
      <c r="H384" s="341"/>
      <c r="I384" s="341"/>
      <c r="J384" s="341"/>
      <c r="K384" s="341"/>
      <c r="L384" s="341"/>
      <c r="M384" s="341"/>
      <c r="N384" s="341"/>
      <c r="O384" s="341"/>
      <c r="P384" s="341"/>
      <c r="Q384" s="341"/>
      <c r="R384" s="341"/>
      <c r="S384" s="341"/>
      <c r="T384" s="341"/>
      <c r="U384" s="341"/>
      <c r="V384" s="341"/>
      <c r="W384" s="341"/>
      <c r="X384" s="341"/>
      <c r="Y384" s="341"/>
      <c r="Z384" s="344"/>
      <c r="AA384" s="344"/>
      <c r="AB384" s="666"/>
      <c r="AC384" s="251"/>
      <c r="AD384" s="186"/>
      <c r="AE384" s="180"/>
      <c r="AF384" s="180"/>
      <c r="AG384" s="180"/>
      <c r="AH384" s="180"/>
      <c r="AI384" s="180"/>
      <c r="AJ384" s="180"/>
    </row>
    <row r="385" spans="1:36" ht="21" customHeight="1" thickBot="1" x14ac:dyDescent="0.45">
      <c r="A385" s="180"/>
      <c r="B385" s="341"/>
      <c r="C385" s="341"/>
      <c r="D385" s="180"/>
      <c r="E385" s="536"/>
      <c r="F385" s="536"/>
      <c r="G385" s="341"/>
      <c r="H385" s="341"/>
      <c r="I385" s="341"/>
      <c r="J385" s="341"/>
      <c r="K385" s="341"/>
      <c r="L385" s="341"/>
      <c r="M385" s="341"/>
      <c r="N385" s="341"/>
      <c r="O385" s="341"/>
      <c r="P385" s="341"/>
      <c r="Q385" s="341"/>
      <c r="R385" s="341"/>
      <c r="S385" s="341"/>
      <c r="T385" s="341"/>
      <c r="U385" s="341"/>
      <c r="V385" s="341"/>
      <c r="W385" s="341"/>
      <c r="X385" s="341"/>
      <c r="Y385" s="341"/>
      <c r="Z385" s="344"/>
      <c r="AA385" s="344"/>
      <c r="AB385" s="666"/>
      <c r="AC385" s="251"/>
      <c r="AD385" s="186"/>
      <c r="AE385" s="180"/>
      <c r="AF385" s="180"/>
      <c r="AG385" s="180"/>
      <c r="AH385" s="180"/>
      <c r="AI385" s="180"/>
      <c r="AJ385" s="180"/>
    </row>
    <row r="386" spans="1:36" ht="21" customHeight="1" thickBot="1" x14ac:dyDescent="0.45">
      <c r="A386" s="180"/>
      <c r="B386" s="341"/>
      <c r="C386" s="341"/>
      <c r="D386" s="180"/>
      <c r="E386" s="536"/>
      <c r="F386" s="536"/>
      <c r="G386" s="341"/>
      <c r="H386" s="341"/>
      <c r="I386" s="341"/>
      <c r="J386" s="341"/>
      <c r="K386" s="341"/>
      <c r="L386" s="341"/>
      <c r="M386" s="341"/>
      <c r="N386" s="341"/>
      <c r="O386" s="341"/>
      <c r="P386" s="341"/>
      <c r="Q386" s="341"/>
      <c r="R386" s="341"/>
      <c r="S386" s="341"/>
      <c r="T386" s="341"/>
      <c r="U386" s="341"/>
      <c r="V386" s="341"/>
      <c r="W386" s="341"/>
      <c r="X386" s="341"/>
      <c r="Y386" s="341"/>
      <c r="Z386" s="344"/>
      <c r="AA386" s="344"/>
      <c r="AB386" s="666"/>
      <c r="AC386" s="251"/>
      <c r="AD386" s="186"/>
      <c r="AE386" s="180"/>
      <c r="AF386" s="180"/>
      <c r="AG386" s="180"/>
      <c r="AH386" s="180"/>
      <c r="AI386" s="180"/>
      <c r="AJ386" s="180"/>
    </row>
    <row r="387" spans="1:36" ht="21" customHeight="1" thickBot="1" x14ac:dyDescent="0.45">
      <c r="A387" s="180"/>
      <c r="B387" s="341"/>
      <c r="C387" s="341"/>
      <c r="D387" s="180"/>
      <c r="E387" s="536"/>
      <c r="F387" s="536"/>
      <c r="G387" s="341"/>
      <c r="H387" s="341"/>
      <c r="I387" s="341"/>
      <c r="J387" s="341"/>
      <c r="K387" s="341"/>
      <c r="L387" s="341"/>
      <c r="M387" s="341"/>
      <c r="N387" s="341"/>
      <c r="O387" s="341"/>
      <c r="P387" s="341"/>
      <c r="Q387" s="341"/>
      <c r="R387" s="341"/>
      <c r="S387" s="341"/>
      <c r="T387" s="341"/>
      <c r="U387" s="341"/>
      <c r="V387" s="341"/>
      <c r="W387" s="341"/>
      <c r="X387" s="341"/>
      <c r="Y387" s="341"/>
      <c r="Z387" s="344"/>
      <c r="AA387" s="344"/>
      <c r="AB387" s="666"/>
      <c r="AC387" s="251"/>
      <c r="AD387" s="186"/>
      <c r="AE387" s="180"/>
      <c r="AF387" s="180"/>
      <c r="AG387" s="180"/>
      <c r="AH387" s="180"/>
      <c r="AI387" s="180"/>
      <c r="AJ387" s="180"/>
    </row>
    <row r="388" spans="1:36" ht="21" customHeight="1" thickBot="1" x14ac:dyDescent="0.45">
      <c r="A388" s="180"/>
      <c r="B388" s="341"/>
      <c r="C388" s="341"/>
      <c r="D388" s="180"/>
      <c r="E388" s="536"/>
      <c r="F388" s="536"/>
      <c r="G388" s="341"/>
      <c r="H388" s="341"/>
      <c r="I388" s="341"/>
      <c r="J388" s="341"/>
      <c r="K388" s="341"/>
      <c r="L388" s="341"/>
      <c r="M388" s="341"/>
      <c r="N388" s="341"/>
      <c r="O388" s="341"/>
      <c r="P388" s="341"/>
      <c r="Q388" s="341"/>
      <c r="R388" s="341"/>
      <c r="S388" s="341"/>
      <c r="T388" s="341"/>
      <c r="U388" s="341"/>
      <c r="V388" s="341"/>
      <c r="W388" s="341"/>
      <c r="X388" s="341"/>
      <c r="Y388" s="341"/>
      <c r="Z388" s="344"/>
      <c r="AA388" s="344"/>
      <c r="AB388" s="666"/>
      <c r="AC388" s="251"/>
      <c r="AD388" s="186"/>
      <c r="AE388" s="180"/>
      <c r="AF388" s="180"/>
      <c r="AG388" s="180"/>
      <c r="AH388" s="180"/>
      <c r="AI388" s="180"/>
      <c r="AJ388" s="180"/>
    </row>
    <row r="389" spans="1:36" ht="21" customHeight="1" thickBot="1" x14ac:dyDescent="0.45">
      <c r="A389" s="180"/>
      <c r="B389" s="341"/>
      <c r="C389" s="341"/>
      <c r="D389" s="180"/>
      <c r="E389" s="536"/>
      <c r="F389" s="536"/>
      <c r="G389" s="341"/>
      <c r="H389" s="341"/>
      <c r="I389" s="341"/>
      <c r="J389" s="341"/>
      <c r="K389" s="341"/>
      <c r="L389" s="341"/>
      <c r="M389" s="341"/>
      <c r="N389" s="341"/>
      <c r="O389" s="341"/>
      <c r="P389" s="341"/>
      <c r="Q389" s="341"/>
      <c r="R389" s="341"/>
      <c r="S389" s="341"/>
      <c r="T389" s="341"/>
      <c r="U389" s="341"/>
      <c r="V389" s="341"/>
      <c r="W389" s="341"/>
      <c r="X389" s="341"/>
      <c r="Y389" s="341"/>
      <c r="Z389" s="344"/>
      <c r="AA389" s="344"/>
      <c r="AB389" s="666"/>
      <c r="AC389" s="251"/>
      <c r="AD389" s="186"/>
      <c r="AE389" s="180"/>
      <c r="AF389" s="180"/>
      <c r="AG389" s="180"/>
      <c r="AH389" s="180"/>
      <c r="AI389" s="180"/>
      <c r="AJ389" s="180"/>
    </row>
    <row r="390" spans="1:36" ht="21" customHeight="1" thickBot="1" x14ac:dyDescent="0.45">
      <c r="A390" s="180"/>
      <c r="B390" s="341"/>
      <c r="C390" s="341"/>
      <c r="D390" s="180"/>
      <c r="E390" s="536"/>
      <c r="F390" s="536"/>
      <c r="G390" s="341"/>
      <c r="H390" s="341"/>
      <c r="I390" s="341"/>
      <c r="J390" s="341"/>
      <c r="K390" s="341"/>
      <c r="L390" s="341"/>
      <c r="M390" s="341"/>
      <c r="N390" s="341"/>
      <c r="O390" s="341"/>
      <c r="P390" s="341"/>
      <c r="Q390" s="341"/>
      <c r="R390" s="341"/>
      <c r="S390" s="341"/>
      <c r="T390" s="341"/>
      <c r="U390" s="341"/>
      <c r="V390" s="341"/>
      <c r="W390" s="341"/>
      <c r="X390" s="341"/>
      <c r="Y390" s="341"/>
      <c r="Z390" s="344"/>
      <c r="AA390" s="344"/>
      <c r="AB390" s="666"/>
      <c r="AC390" s="251"/>
      <c r="AD390" s="186"/>
      <c r="AE390" s="180"/>
      <c r="AF390" s="180"/>
      <c r="AG390" s="180"/>
      <c r="AH390" s="180"/>
      <c r="AI390" s="180"/>
      <c r="AJ390" s="180"/>
    </row>
    <row r="391" spans="1:36" ht="21" customHeight="1" thickBot="1" x14ac:dyDescent="0.45">
      <c r="A391" s="180"/>
      <c r="B391" s="341"/>
      <c r="C391" s="341"/>
      <c r="D391" s="180"/>
      <c r="E391" s="536"/>
      <c r="F391" s="536"/>
      <c r="G391" s="341"/>
      <c r="H391" s="341"/>
      <c r="I391" s="341"/>
      <c r="J391" s="341"/>
      <c r="K391" s="341"/>
      <c r="L391" s="341"/>
      <c r="M391" s="341"/>
      <c r="N391" s="341"/>
      <c r="O391" s="341"/>
      <c r="P391" s="341"/>
      <c r="Q391" s="341"/>
      <c r="R391" s="341"/>
      <c r="S391" s="341"/>
      <c r="T391" s="341"/>
      <c r="U391" s="341"/>
      <c r="V391" s="341"/>
      <c r="W391" s="341"/>
      <c r="X391" s="341"/>
      <c r="Y391" s="341"/>
      <c r="Z391" s="344"/>
      <c r="AA391" s="344"/>
      <c r="AB391" s="666"/>
      <c r="AC391" s="251"/>
      <c r="AD391" s="186"/>
      <c r="AE391" s="180"/>
      <c r="AF391" s="180"/>
      <c r="AG391" s="180"/>
      <c r="AH391" s="180"/>
      <c r="AI391" s="180"/>
      <c r="AJ391" s="180"/>
    </row>
    <row r="392" spans="1:36" ht="21" customHeight="1" thickBot="1" x14ac:dyDescent="0.45">
      <c r="A392" s="180"/>
      <c r="B392" s="341"/>
      <c r="C392" s="341"/>
      <c r="D392" s="180"/>
      <c r="E392" s="536"/>
      <c r="F392" s="536"/>
      <c r="G392" s="341"/>
      <c r="H392" s="341"/>
      <c r="I392" s="341"/>
      <c r="J392" s="341"/>
      <c r="K392" s="341"/>
      <c r="L392" s="341"/>
      <c r="M392" s="341"/>
      <c r="N392" s="341"/>
      <c r="O392" s="341"/>
      <c r="P392" s="341"/>
      <c r="Q392" s="341"/>
      <c r="R392" s="341"/>
      <c r="S392" s="341"/>
      <c r="T392" s="341"/>
      <c r="U392" s="341"/>
      <c r="V392" s="341"/>
      <c r="W392" s="341"/>
      <c r="X392" s="341"/>
      <c r="Y392" s="341"/>
      <c r="Z392" s="344"/>
      <c r="AA392" s="344"/>
      <c r="AB392" s="666"/>
      <c r="AC392" s="251"/>
      <c r="AD392" s="186"/>
      <c r="AE392" s="180"/>
      <c r="AF392" s="180"/>
      <c r="AG392" s="180"/>
      <c r="AH392" s="180"/>
      <c r="AI392" s="180"/>
      <c r="AJ392" s="180"/>
    </row>
    <row r="393" spans="1:36" ht="21" customHeight="1" thickBot="1" x14ac:dyDescent="0.45">
      <c r="A393" s="180"/>
      <c r="B393" s="341"/>
      <c r="C393" s="341"/>
      <c r="D393" s="180"/>
      <c r="E393" s="536"/>
      <c r="F393" s="536"/>
      <c r="G393" s="341"/>
      <c r="H393" s="341"/>
      <c r="I393" s="341"/>
      <c r="J393" s="341"/>
      <c r="K393" s="341"/>
      <c r="L393" s="341"/>
      <c r="M393" s="341"/>
      <c r="N393" s="341"/>
      <c r="O393" s="341"/>
      <c r="P393" s="341"/>
      <c r="Q393" s="341"/>
      <c r="R393" s="341"/>
      <c r="S393" s="341"/>
      <c r="T393" s="341"/>
      <c r="U393" s="341"/>
      <c r="V393" s="341"/>
      <c r="W393" s="341"/>
      <c r="X393" s="341"/>
      <c r="Y393" s="341"/>
      <c r="Z393" s="344"/>
      <c r="AA393" s="344"/>
      <c r="AB393" s="666"/>
      <c r="AC393" s="251"/>
      <c r="AD393" s="186"/>
      <c r="AE393" s="180"/>
      <c r="AF393" s="180"/>
      <c r="AG393" s="180"/>
      <c r="AH393" s="180"/>
      <c r="AI393" s="180"/>
      <c r="AJ393" s="180"/>
    </row>
    <row r="394" spans="1:36" ht="21" customHeight="1" thickBot="1" x14ac:dyDescent="0.45">
      <c r="A394" s="180"/>
      <c r="B394" s="341"/>
      <c r="C394" s="341"/>
      <c r="D394" s="180"/>
      <c r="E394" s="536"/>
      <c r="F394" s="536"/>
      <c r="G394" s="341"/>
      <c r="H394" s="341"/>
      <c r="I394" s="341"/>
      <c r="J394" s="341"/>
      <c r="K394" s="341"/>
      <c r="L394" s="341"/>
      <c r="M394" s="341"/>
      <c r="N394" s="341"/>
      <c r="O394" s="341"/>
      <c r="P394" s="341"/>
      <c r="Q394" s="341"/>
      <c r="R394" s="341"/>
      <c r="S394" s="341"/>
      <c r="T394" s="341"/>
      <c r="U394" s="341"/>
      <c r="V394" s="341"/>
      <c r="W394" s="341"/>
      <c r="X394" s="341"/>
      <c r="Y394" s="341"/>
      <c r="Z394" s="344"/>
      <c r="AA394" s="344"/>
      <c r="AB394" s="666"/>
      <c r="AC394" s="251"/>
      <c r="AD394" s="186"/>
      <c r="AE394" s="180"/>
      <c r="AF394" s="180"/>
      <c r="AG394" s="180"/>
      <c r="AH394" s="180"/>
      <c r="AI394" s="180"/>
      <c r="AJ394" s="180"/>
    </row>
    <row r="395" spans="1:36" ht="21" customHeight="1" thickBot="1" x14ac:dyDescent="0.45">
      <c r="A395" s="180"/>
      <c r="B395" s="341"/>
      <c r="C395" s="341"/>
      <c r="D395" s="180"/>
      <c r="E395" s="536"/>
      <c r="F395" s="536"/>
      <c r="G395" s="341"/>
      <c r="H395" s="341"/>
      <c r="I395" s="341"/>
      <c r="J395" s="341"/>
      <c r="K395" s="341"/>
      <c r="L395" s="341"/>
      <c r="M395" s="341"/>
      <c r="N395" s="341"/>
      <c r="O395" s="341"/>
      <c r="P395" s="341"/>
      <c r="Q395" s="341"/>
      <c r="R395" s="341"/>
      <c r="S395" s="341"/>
      <c r="T395" s="341"/>
      <c r="U395" s="341"/>
      <c r="V395" s="341"/>
      <c r="W395" s="341"/>
      <c r="X395" s="341"/>
      <c r="Y395" s="341"/>
      <c r="Z395" s="344"/>
      <c r="AA395" s="344"/>
      <c r="AB395" s="666"/>
      <c r="AC395" s="251"/>
      <c r="AD395" s="186"/>
      <c r="AE395" s="180"/>
      <c r="AF395" s="180"/>
      <c r="AG395" s="180"/>
      <c r="AH395" s="180"/>
      <c r="AI395" s="180"/>
      <c r="AJ395" s="180"/>
    </row>
    <row r="396" spans="1:36" ht="21" customHeight="1" thickBot="1" x14ac:dyDescent="0.45">
      <c r="A396" s="180"/>
      <c r="B396" s="341"/>
      <c r="C396" s="341"/>
      <c r="D396" s="180"/>
      <c r="E396" s="536"/>
      <c r="F396" s="536"/>
      <c r="G396" s="341"/>
      <c r="H396" s="341"/>
      <c r="I396" s="341"/>
      <c r="J396" s="341"/>
      <c r="K396" s="341"/>
      <c r="L396" s="341"/>
      <c r="M396" s="341"/>
      <c r="N396" s="341"/>
      <c r="O396" s="341"/>
      <c r="P396" s="341"/>
      <c r="Q396" s="341"/>
      <c r="R396" s="341"/>
      <c r="S396" s="341"/>
      <c r="T396" s="341"/>
      <c r="U396" s="341"/>
      <c r="V396" s="341"/>
      <c r="W396" s="341"/>
      <c r="X396" s="341"/>
      <c r="Y396" s="341"/>
      <c r="Z396" s="344"/>
      <c r="AA396" s="344"/>
      <c r="AB396" s="666"/>
      <c r="AC396" s="251"/>
      <c r="AD396" s="186"/>
      <c r="AE396" s="180"/>
      <c r="AF396" s="180"/>
      <c r="AG396" s="180"/>
      <c r="AH396" s="180"/>
      <c r="AI396" s="180"/>
      <c r="AJ396" s="180"/>
    </row>
    <row r="397" spans="1:36" ht="21" customHeight="1" thickBot="1" x14ac:dyDescent="0.45">
      <c r="A397" s="180"/>
      <c r="B397" s="341"/>
      <c r="C397" s="341"/>
      <c r="D397" s="180"/>
      <c r="E397" s="536"/>
      <c r="F397" s="536"/>
      <c r="G397" s="341"/>
      <c r="H397" s="341"/>
      <c r="I397" s="341"/>
      <c r="J397" s="341"/>
      <c r="K397" s="341"/>
      <c r="L397" s="341"/>
      <c r="M397" s="341"/>
      <c r="N397" s="341"/>
      <c r="O397" s="341"/>
      <c r="P397" s="341"/>
      <c r="Q397" s="341"/>
      <c r="R397" s="341"/>
      <c r="S397" s="341"/>
      <c r="T397" s="341"/>
      <c r="U397" s="341"/>
      <c r="V397" s="341"/>
      <c r="W397" s="341"/>
      <c r="X397" s="341"/>
      <c r="Y397" s="341"/>
      <c r="Z397" s="344"/>
      <c r="AA397" s="344"/>
      <c r="AB397" s="666"/>
      <c r="AC397" s="251"/>
      <c r="AD397" s="186"/>
      <c r="AE397" s="180"/>
      <c r="AF397" s="180"/>
      <c r="AG397" s="180"/>
      <c r="AH397" s="180"/>
      <c r="AI397" s="180"/>
      <c r="AJ397" s="180"/>
    </row>
    <row r="398" spans="1:36" ht="21" customHeight="1" thickBot="1" x14ac:dyDescent="0.45">
      <c r="A398" s="180"/>
      <c r="B398" s="341"/>
      <c r="C398" s="341"/>
      <c r="D398" s="180"/>
      <c r="E398" s="536"/>
      <c r="F398" s="536"/>
      <c r="G398" s="341"/>
      <c r="H398" s="341"/>
      <c r="I398" s="341"/>
      <c r="J398" s="341"/>
      <c r="K398" s="341"/>
      <c r="L398" s="341"/>
      <c r="M398" s="341"/>
      <c r="N398" s="341"/>
      <c r="O398" s="341"/>
      <c r="P398" s="341"/>
      <c r="Q398" s="341"/>
      <c r="R398" s="341"/>
      <c r="S398" s="341"/>
      <c r="T398" s="341"/>
      <c r="U398" s="341"/>
      <c r="V398" s="341"/>
      <c r="W398" s="341"/>
      <c r="X398" s="341"/>
      <c r="Y398" s="341"/>
      <c r="Z398" s="344"/>
      <c r="AA398" s="344"/>
      <c r="AB398" s="666"/>
      <c r="AC398" s="251"/>
      <c r="AD398" s="186"/>
      <c r="AE398" s="180"/>
      <c r="AF398" s="180"/>
      <c r="AG398" s="180"/>
      <c r="AH398" s="180"/>
      <c r="AI398" s="180"/>
      <c r="AJ398" s="180"/>
    </row>
    <row r="399" spans="1:36" ht="21" customHeight="1" thickBot="1" x14ac:dyDescent="0.45">
      <c r="A399" s="180"/>
      <c r="B399" s="341"/>
      <c r="C399" s="341"/>
      <c r="D399" s="180"/>
      <c r="E399" s="536"/>
      <c r="F399" s="536"/>
      <c r="G399" s="341"/>
      <c r="H399" s="341"/>
      <c r="I399" s="341"/>
      <c r="J399" s="341"/>
      <c r="K399" s="341"/>
      <c r="L399" s="341"/>
      <c r="M399" s="341"/>
      <c r="N399" s="341"/>
      <c r="O399" s="341"/>
      <c r="P399" s="341"/>
      <c r="Q399" s="341"/>
      <c r="R399" s="341"/>
      <c r="S399" s="341"/>
      <c r="T399" s="341"/>
      <c r="U399" s="341"/>
      <c r="V399" s="341"/>
      <c r="W399" s="341"/>
      <c r="X399" s="341"/>
      <c r="Y399" s="341"/>
      <c r="Z399" s="344"/>
      <c r="AA399" s="344"/>
      <c r="AB399" s="666"/>
      <c r="AC399" s="251"/>
      <c r="AD399" s="186"/>
      <c r="AE399" s="180"/>
      <c r="AF399" s="180"/>
      <c r="AG399" s="180"/>
      <c r="AH399" s="180"/>
      <c r="AI399" s="180"/>
      <c r="AJ399" s="180"/>
    </row>
    <row r="400" spans="1:36" ht="21" customHeight="1" thickBot="1" x14ac:dyDescent="0.45">
      <c r="A400" s="180"/>
      <c r="B400" s="341"/>
      <c r="C400" s="341"/>
      <c r="D400" s="180"/>
      <c r="E400" s="536"/>
      <c r="F400" s="536"/>
      <c r="G400" s="341"/>
      <c r="H400" s="341"/>
      <c r="I400" s="341"/>
      <c r="J400" s="341"/>
      <c r="K400" s="341"/>
      <c r="L400" s="341"/>
      <c r="M400" s="341"/>
      <c r="N400" s="341"/>
      <c r="O400" s="341"/>
      <c r="P400" s="341"/>
      <c r="Q400" s="341"/>
      <c r="R400" s="341"/>
      <c r="S400" s="341"/>
      <c r="T400" s="341"/>
      <c r="U400" s="341"/>
      <c r="V400" s="341"/>
      <c r="W400" s="341"/>
      <c r="X400" s="341"/>
      <c r="Y400" s="341"/>
      <c r="Z400" s="344"/>
      <c r="AA400" s="344"/>
      <c r="AB400" s="666"/>
      <c r="AC400" s="251"/>
      <c r="AD400" s="186"/>
      <c r="AE400" s="180"/>
      <c r="AF400" s="180"/>
      <c r="AG400" s="180"/>
      <c r="AH400" s="180"/>
      <c r="AI400" s="180"/>
      <c r="AJ400" s="180"/>
    </row>
    <row r="401" spans="1:36" ht="21" customHeight="1" thickBot="1" x14ac:dyDescent="0.45">
      <c r="A401" s="180"/>
      <c r="B401" s="341"/>
      <c r="C401" s="341"/>
      <c r="D401" s="180"/>
      <c r="E401" s="536"/>
      <c r="F401" s="536"/>
      <c r="G401" s="341"/>
      <c r="H401" s="341"/>
      <c r="I401" s="341"/>
      <c r="J401" s="341"/>
      <c r="K401" s="341"/>
      <c r="L401" s="341"/>
      <c r="M401" s="341"/>
      <c r="N401" s="341"/>
      <c r="O401" s="341"/>
      <c r="P401" s="341"/>
      <c r="Q401" s="341"/>
      <c r="R401" s="341"/>
      <c r="S401" s="341"/>
      <c r="T401" s="341"/>
      <c r="U401" s="341"/>
      <c r="V401" s="341"/>
      <c r="W401" s="341"/>
      <c r="X401" s="341"/>
      <c r="Y401" s="341"/>
      <c r="Z401" s="344"/>
      <c r="AA401" s="344"/>
      <c r="AB401" s="666"/>
      <c r="AC401" s="251"/>
      <c r="AD401" s="186"/>
      <c r="AE401" s="180"/>
      <c r="AF401" s="180"/>
      <c r="AG401" s="180"/>
      <c r="AH401" s="180"/>
      <c r="AI401" s="180"/>
      <c r="AJ401" s="180"/>
    </row>
    <row r="402" spans="1:36" ht="21" customHeight="1" thickBot="1" x14ac:dyDescent="0.45">
      <c r="A402" s="180"/>
      <c r="B402" s="341"/>
      <c r="C402" s="341"/>
      <c r="D402" s="180"/>
      <c r="E402" s="536"/>
      <c r="F402" s="536"/>
      <c r="G402" s="341"/>
      <c r="H402" s="341"/>
      <c r="I402" s="341"/>
      <c r="J402" s="341"/>
      <c r="K402" s="341"/>
      <c r="L402" s="341"/>
      <c r="M402" s="341"/>
      <c r="N402" s="341"/>
      <c r="O402" s="341"/>
      <c r="P402" s="341"/>
      <c r="Q402" s="341"/>
      <c r="R402" s="341"/>
      <c r="S402" s="341"/>
      <c r="T402" s="341"/>
      <c r="U402" s="341"/>
      <c r="V402" s="341"/>
      <c r="W402" s="341"/>
      <c r="X402" s="341"/>
      <c r="Y402" s="341"/>
      <c r="Z402" s="344"/>
      <c r="AA402" s="344"/>
      <c r="AB402" s="666"/>
      <c r="AC402" s="251"/>
      <c r="AD402" s="186"/>
      <c r="AE402" s="180"/>
      <c r="AF402" s="180"/>
      <c r="AG402" s="180"/>
      <c r="AH402" s="180"/>
      <c r="AI402" s="180"/>
      <c r="AJ402" s="180"/>
    </row>
    <row r="403" spans="1:36" ht="21" customHeight="1" thickBot="1" x14ac:dyDescent="0.45">
      <c r="A403" s="180"/>
      <c r="B403" s="341"/>
      <c r="C403" s="341"/>
      <c r="D403" s="180"/>
      <c r="E403" s="536"/>
      <c r="F403" s="536"/>
      <c r="G403" s="341"/>
      <c r="H403" s="341"/>
      <c r="I403" s="341"/>
      <c r="J403" s="341"/>
      <c r="K403" s="341"/>
      <c r="L403" s="341"/>
      <c r="M403" s="341"/>
      <c r="N403" s="341"/>
      <c r="O403" s="341"/>
      <c r="P403" s="341"/>
      <c r="Q403" s="341"/>
      <c r="R403" s="341"/>
      <c r="S403" s="341"/>
      <c r="T403" s="341"/>
      <c r="U403" s="341"/>
      <c r="V403" s="341"/>
      <c r="W403" s="341"/>
      <c r="X403" s="341"/>
      <c r="Y403" s="341"/>
      <c r="Z403" s="344"/>
      <c r="AA403" s="344"/>
      <c r="AB403" s="666"/>
      <c r="AC403" s="251"/>
      <c r="AD403" s="186"/>
      <c r="AE403" s="180"/>
      <c r="AF403" s="180"/>
      <c r="AG403" s="180"/>
      <c r="AH403" s="180"/>
      <c r="AI403" s="180"/>
      <c r="AJ403" s="180"/>
    </row>
    <row r="404" spans="1:36" ht="21" customHeight="1" thickBot="1" x14ac:dyDescent="0.45">
      <c r="A404" s="180"/>
      <c r="B404" s="341"/>
      <c r="C404" s="341"/>
      <c r="D404" s="180"/>
      <c r="E404" s="536"/>
      <c r="F404" s="536"/>
      <c r="G404" s="341"/>
      <c r="H404" s="341"/>
      <c r="I404" s="341"/>
      <c r="J404" s="341"/>
      <c r="K404" s="341"/>
      <c r="L404" s="341"/>
      <c r="M404" s="341"/>
      <c r="N404" s="341"/>
      <c r="O404" s="341"/>
      <c r="P404" s="341"/>
      <c r="Q404" s="341"/>
      <c r="R404" s="341"/>
      <c r="S404" s="341"/>
      <c r="T404" s="341"/>
      <c r="U404" s="341"/>
      <c r="V404" s="341"/>
      <c r="W404" s="341"/>
      <c r="X404" s="341"/>
      <c r="Y404" s="341"/>
      <c r="Z404" s="344"/>
      <c r="AA404" s="344"/>
      <c r="AB404" s="666"/>
      <c r="AC404" s="251"/>
      <c r="AD404" s="186"/>
      <c r="AE404" s="180"/>
      <c r="AF404" s="180"/>
      <c r="AG404" s="180"/>
      <c r="AH404" s="180"/>
      <c r="AI404" s="180"/>
      <c r="AJ404" s="180"/>
    </row>
    <row r="405" spans="1:36" ht="21" customHeight="1" thickBot="1" x14ac:dyDescent="0.45">
      <c r="A405" s="180"/>
      <c r="B405" s="341"/>
      <c r="C405" s="341"/>
      <c r="D405" s="180"/>
      <c r="E405" s="536"/>
      <c r="F405" s="536"/>
      <c r="G405" s="341"/>
      <c r="H405" s="341"/>
      <c r="I405" s="341"/>
      <c r="J405" s="341"/>
      <c r="K405" s="341"/>
      <c r="L405" s="341"/>
      <c r="M405" s="341"/>
      <c r="N405" s="341"/>
      <c r="O405" s="341"/>
      <c r="P405" s="341"/>
      <c r="Q405" s="341"/>
      <c r="R405" s="341"/>
      <c r="S405" s="341"/>
      <c r="T405" s="341"/>
      <c r="U405" s="341"/>
      <c r="V405" s="341"/>
      <c r="W405" s="341"/>
      <c r="X405" s="341"/>
      <c r="Y405" s="341"/>
      <c r="Z405" s="344"/>
      <c r="AA405" s="344"/>
      <c r="AB405" s="666"/>
      <c r="AC405" s="251"/>
      <c r="AD405" s="186"/>
      <c r="AE405" s="180"/>
      <c r="AF405" s="180"/>
      <c r="AG405" s="180"/>
      <c r="AH405" s="180"/>
      <c r="AI405" s="180"/>
      <c r="AJ405" s="180"/>
    </row>
    <row r="406" spans="1:36" ht="21" customHeight="1" thickBot="1" x14ac:dyDescent="0.45">
      <c r="A406" s="180"/>
      <c r="B406" s="341"/>
      <c r="C406" s="341"/>
      <c r="D406" s="180"/>
      <c r="E406" s="536"/>
      <c r="F406" s="536"/>
      <c r="G406" s="341"/>
      <c r="H406" s="341"/>
      <c r="I406" s="341"/>
      <c r="J406" s="341"/>
      <c r="K406" s="341"/>
      <c r="L406" s="341"/>
      <c r="M406" s="341"/>
      <c r="N406" s="341"/>
      <c r="O406" s="341"/>
      <c r="P406" s="341"/>
      <c r="Q406" s="341"/>
      <c r="R406" s="341"/>
      <c r="S406" s="341"/>
      <c r="T406" s="341"/>
      <c r="U406" s="341"/>
      <c r="V406" s="341"/>
      <c r="W406" s="341"/>
      <c r="X406" s="341"/>
      <c r="Y406" s="341"/>
      <c r="Z406" s="344"/>
      <c r="AA406" s="344"/>
      <c r="AB406" s="666"/>
      <c r="AC406" s="251"/>
      <c r="AD406" s="186"/>
      <c r="AE406" s="180"/>
      <c r="AF406" s="180"/>
      <c r="AG406" s="180"/>
      <c r="AH406" s="180"/>
      <c r="AI406" s="180"/>
      <c r="AJ406" s="180"/>
    </row>
    <row r="407" spans="1:36" ht="21" customHeight="1" thickBot="1" x14ac:dyDescent="0.45">
      <c r="A407" s="180"/>
      <c r="B407" s="341"/>
      <c r="C407" s="341"/>
      <c r="D407" s="180"/>
      <c r="E407" s="536"/>
      <c r="F407" s="536"/>
      <c r="G407" s="341"/>
      <c r="H407" s="341"/>
      <c r="I407" s="341"/>
      <c r="J407" s="341"/>
      <c r="K407" s="341"/>
      <c r="L407" s="341"/>
      <c r="M407" s="341"/>
      <c r="N407" s="341"/>
      <c r="O407" s="341"/>
      <c r="P407" s="341"/>
      <c r="Q407" s="341"/>
      <c r="R407" s="341"/>
      <c r="S407" s="341"/>
      <c r="T407" s="341"/>
      <c r="U407" s="341"/>
      <c r="V407" s="341"/>
      <c r="W407" s="341"/>
      <c r="X407" s="341"/>
      <c r="Y407" s="341"/>
      <c r="Z407" s="344"/>
      <c r="AA407" s="344"/>
      <c r="AB407" s="666"/>
      <c r="AC407" s="251"/>
      <c r="AD407" s="186"/>
      <c r="AE407" s="180"/>
      <c r="AF407" s="180"/>
      <c r="AG407" s="180"/>
      <c r="AH407" s="180"/>
      <c r="AI407" s="180"/>
      <c r="AJ407" s="180"/>
    </row>
    <row r="408" spans="1:36" ht="21" customHeight="1" thickBot="1" x14ac:dyDescent="0.45">
      <c r="A408" s="180"/>
      <c r="B408" s="341"/>
      <c r="C408" s="341"/>
      <c r="D408" s="180"/>
      <c r="E408" s="536"/>
      <c r="F408" s="536"/>
      <c r="G408" s="341"/>
      <c r="H408" s="341"/>
      <c r="I408" s="341"/>
      <c r="J408" s="341"/>
      <c r="K408" s="341"/>
      <c r="L408" s="341"/>
      <c r="M408" s="341"/>
      <c r="N408" s="341"/>
      <c r="O408" s="341"/>
      <c r="P408" s="341"/>
      <c r="Q408" s="341"/>
      <c r="R408" s="341"/>
      <c r="S408" s="341"/>
      <c r="T408" s="341"/>
      <c r="U408" s="341"/>
      <c r="V408" s="341"/>
      <c r="W408" s="341"/>
      <c r="X408" s="341"/>
      <c r="Y408" s="341"/>
      <c r="Z408" s="344"/>
      <c r="AA408" s="344"/>
      <c r="AB408" s="666"/>
      <c r="AC408" s="251"/>
      <c r="AD408" s="186"/>
      <c r="AE408" s="180"/>
      <c r="AF408" s="180"/>
      <c r="AG408" s="180"/>
      <c r="AH408" s="180"/>
      <c r="AI408" s="180"/>
      <c r="AJ408" s="180"/>
    </row>
    <row r="409" spans="1:36" ht="21" customHeight="1" thickBot="1" x14ac:dyDescent="0.45">
      <c r="A409" s="180"/>
      <c r="B409" s="341"/>
      <c r="C409" s="341"/>
      <c r="D409" s="180"/>
      <c r="E409" s="536"/>
      <c r="F409" s="536"/>
      <c r="G409" s="341"/>
      <c r="H409" s="341"/>
      <c r="I409" s="341"/>
      <c r="J409" s="341"/>
      <c r="K409" s="341"/>
      <c r="L409" s="341"/>
      <c r="M409" s="341"/>
      <c r="N409" s="341"/>
      <c r="O409" s="341"/>
      <c r="P409" s="341"/>
      <c r="Q409" s="341"/>
      <c r="R409" s="341"/>
      <c r="S409" s="341"/>
      <c r="T409" s="341"/>
      <c r="U409" s="341"/>
      <c r="V409" s="341"/>
      <c r="W409" s="341"/>
      <c r="X409" s="341"/>
      <c r="Y409" s="341"/>
      <c r="Z409" s="344"/>
      <c r="AA409" s="344"/>
      <c r="AB409" s="666"/>
      <c r="AC409" s="251"/>
      <c r="AD409" s="186"/>
      <c r="AE409" s="180"/>
      <c r="AF409" s="180"/>
      <c r="AG409" s="180"/>
      <c r="AH409" s="180"/>
      <c r="AI409" s="180"/>
      <c r="AJ409" s="180"/>
    </row>
    <row r="410" spans="1:36" ht="21" customHeight="1" thickBot="1" x14ac:dyDescent="0.45">
      <c r="A410" s="180"/>
      <c r="B410" s="341"/>
      <c r="C410" s="341"/>
      <c r="D410" s="180"/>
      <c r="E410" s="536"/>
      <c r="F410" s="536"/>
      <c r="G410" s="341"/>
      <c r="H410" s="341"/>
      <c r="I410" s="341"/>
      <c r="J410" s="341"/>
      <c r="K410" s="341"/>
      <c r="L410" s="341"/>
      <c r="M410" s="341"/>
      <c r="N410" s="341"/>
      <c r="O410" s="341"/>
      <c r="P410" s="341"/>
      <c r="Q410" s="341"/>
      <c r="R410" s="341"/>
      <c r="S410" s="341"/>
      <c r="T410" s="341"/>
      <c r="U410" s="341"/>
      <c r="V410" s="341"/>
      <c r="W410" s="341"/>
      <c r="X410" s="341"/>
      <c r="Y410" s="341"/>
      <c r="Z410" s="344"/>
      <c r="AA410" s="344"/>
      <c r="AB410" s="666"/>
      <c r="AC410" s="251"/>
      <c r="AD410" s="186"/>
      <c r="AE410" s="180"/>
      <c r="AF410" s="180"/>
      <c r="AG410" s="180"/>
      <c r="AH410" s="180"/>
      <c r="AI410" s="180"/>
      <c r="AJ410" s="180"/>
    </row>
    <row r="411" spans="1:36" ht="21" customHeight="1" thickBot="1" x14ac:dyDescent="0.45">
      <c r="A411" s="180"/>
      <c r="B411" s="341"/>
      <c r="C411" s="341"/>
      <c r="D411" s="180"/>
      <c r="E411" s="536"/>
      <c r="F411" s="536"/>
      <c r="G411" s="341"/>
      <c r="H411" s="341"/>
      <c r="I411" s="341"/>
      <c r="J411" s="341"/>
      <c r="K411" s="341"/>
      <c r="L411" s="341"/>
      <c r="M411" s="341"/>
      <c r="N411" s="341"/>
      <c r="O411" s="341"/>
      <c r="P411" s="341"/>
      <c r="Q411" s="341"/>
      <c r="R411" s="341"/>
      <c r="S411" s="341"/>
      <c r="T411" s="341"/>
      <c r="U411" s="341"/>
      <c r="V411" s="341"/>
      <c r="W411" s="341"/>
      <c r="X411" s="341"/>
      <c r="Y411" s="341"/>
      <c r="Z411" s="344"/>
      <c r="AA411" s="344"/>
      <c r="AB411" s="666"/>
      <c r="AC411" s="251"/>
      <c r="AD411" s="186"/>
      <c r="AE411" s="180"/>
      <c r="AF411" s="180"/>
      <c r="AG411" s="180"/>
      <c r="AH411" s="180"/>
      <c r="AI411" s="180"/>
      <c r="AJ411" s="180"/>
    </row>
    <row r="412" spans="1:36" ht="21" customHeight="1" x14ac:dyDescent="0.4">
      <c r="E412" s="537"/>
      <c r="F412" s="537"/>
    </row>
    <row r="413" spans="1:36" ht="21" customHeight="1" x14ac:dyDescent="0.4">
      <c r="E413" s="537"/>
      <c r="F413" s="537"/>
    </row>
    <row r="414" spans="1:36" ht="21" customHeight="1" x14ac:dyDescent="0.4">
      <c r="E414" s="537"/>
      <c r="F414" s="537"/>
    </row>
    <row r="415" spans="1:36" ht="21" customHeight="1" x14ac:dyDescent="0.4">
      <c r="E415" s="537"/>
      <c r="F415" s="537"/>
    </row>
    <row r="416" spans="1:36" ht="21" customHeight="1" x14ac:dyDescent="0.4">
      <c r="E416" s="537"/>
      <c r="F416" s="537"/>
    </row>
    <row r="417" spans="5:6" ht="21" customHeight="1" x14ac:dyDescent="0.4">
      <c r="E417" s="537"/>
      <c r="F417" s="537"/>
    </row>
    <row r="418" spans="5:6" ht="21" customHeight="1" x14ac:dyDescent="0.4">
      <c r="E418" s="537"/>
      <c r="F418" s="537"/>
    </row>
    <row r="419" spans="5:6" ht="21" customHeight="1" x14ac:dyDescent="0.4">
      <c r="E419" s="537"/>
      <c r="F419" s="537"/>
    </row>
    <row r="420" spans="5:6" ht="21" customHeight="1" x14ac:dyDescent="0.4">
      <c r="E420" s="537"/>
      <c r="F420" s="537"/>
    </row>
    <row r="421" spans="5:6" ht="21" customHeight="1" x14ac:dyDescent="0.4">
      <c r="E421" s="537"/>
      <c r="F421" s="537"/>
    </row>
    <row r="422" spans="5:6" ht="21" customHeight="1" x14ac:dyDescent="0.4">
      <c r="E422" s="537"/>
      <c r="F422" s="537"/>
    </row>
    <row r="423" spans="5:6" ht="21" customHeight="1" x14ac:dyDescent="0.4">
      <c r="E423" s="537"/>
      <c r="F423" s="537"/>
    </row>
    <row r="424" spans="5:6" ht="21" customHeight="1" x14ac:dyDescent="0.4">
      <c r="E424" s="537"/>
      <c r="F424" s="537"/>
    </row>
    <row r="425" spans="5:6" ht="21" customHeight="1" x14ac:dyDescent="0.4">
      <c r="E425" s="537"/>
      <c r="F425" s="537"/>
    </row>
    <row r="426" spans="5:6" ht="21" customHeight="1" x14ac:dyDescent="0.4">
      <c r="E426" s="537"/>
      <c r="F426" s="537"/>
    </row>
    <row r="427" spans="5:6" ht="21" customHeight="1" x14ac:dyDescent="0.4">
      <c r="E427" s="537"/>
      <c r="F427" s="537"/>
    </row>
    <row r="428" spans="5:6" ht="21" customHeight="1" x14ac:dyDescent="0.4">
      <c r="E428" s="537"/>
      <c r="F428" s="537"/>
    </row>
    <row r="429" spans="5:6" ht="21" customHeight="1" x14ac:dyDescent="0.4">
      <c r="E429" s="537"/>
      <c r="F429" s="537"/>
    </row>
    <row r="430" spans="5:6" ht="21" customHeight="1" x14ac:dyDescent="0.4">
      <c r="E430" s="537"/>
      <c r="F430" s="537"/>
    </row>
    <row r="431" spans="5:6" ht="21" customHeight="1" x14ac:dyDescent="0.4">
      <c r="E431" s="537"/>
      <c r="F431" s="537"/>
    </row>
    <row r="432" spans="5:6" ht="21" customHeight="1" x14ac:dyDescent="0.4">
      <c r="E432" s="537"/>
      <c r="F432" s="537"/>
    </row>
    <row r="433" spans="5:6" ht="21" customHeight="1" x14ac:dyDescent="0.4">
      <c r="E433" s="537"/>
      <c r="F433" s="537"/>
    </row>
    <row r="434" spans="5:6" ht="21" customHeight="1" x14ac:dyDescent="0.4">
      <c r="E434" s="537"/>
      <c r="F434" s="537"/>
    </row>
    <row r="435" spans="5:6" ht="21" customHeight="1" x14ac:dyDescent="0.4">
      <c r="E435" s="537"/>
      <c r="F435" s="537"/>
    </row>
    <row r="436" spans="5:6" ht="21" customHeight="1" x14ac:dyDescent="0.4">
      <c r="E436" s="537"/>
      <c r="F436" s="537"/>
    </row>
    <row r="437" spans="5:6" ht="21" customHeight="1" x14ac:dyDescent="0.4">
      <c r="E437" s="537"/>
      <c r="F437" s="537"/>
    </row>
    <row r="438" spans="5:6" ht="21" customHeight="1" x14ac:dyDescent="0.4">
      <c r="E438" s="537"/>
      <c r="F438" s="537"/>
    </row>
    <row r="439" spans="5:6" ht="21" customHeight="1" x14ac:dyDescent="0.4">
      <c r="E439" s="537"/>
      <c r="F439" s="537"/>
    </row>
    <row r="440" spans="5:6" ht="21" customHeight="1" x14ac:dyDescent="0.4">
      <c r="E440" s="537"/>
      <c r="F440" s="537"/>
    </row>
    <row r="441" spans="5:6" ht="21" customHeight="1" x14ac:dyDescent="0.4">
      <c r="E441" s="537"/>
      <c r="F441" s="537"/>
    </row>
    <row r="442" spans="5:6" ht="21" customHeight="1" x14ac:dyDescent="0.4">
      <c r="E442" s="537"/>
      <c r="F442" s="537"/>
    </row>
    <row r="443" spans="5:6" ht="21" customHeight="1" x14ac:dyDescent="0.4">
      <c r="E443" s="537"/>
      <c r="F443" s="537"/>
    </row>
    <row r="444" spans="5:6" ht="21" customHeight="1" x14ac:dyDescent="0.4">
      <c r="E444" s="537"/>
      <c r="F444" s="537"/>
    </row>
    <row r="445" spans="5:6" ht="21" customHeight="1" x14ac:dyDescent="0.4">
      <c r="E445" s="537"/>
      <c r="F445" s="537"/>
    </row>
    <row r="446" spans="5:6" ht="21" customHeight="1" x14ac:dyDescent="0.4">
      <c r="E446" s="537"/>
      <c r="F446" s="537"/>
    </row>
    <row r="447" spans="5:6" ht="21" customHeight="1" x14ac:dyDescent="0.4">
      <c r="E447" s="537"/>
      <c r="F447" s="537"/>
    </row>
    <row r="448" spans="5:6" ht="21" customHeight="1" x14ac:dyDescent="0.4">
      <c r="E448" s="537"/>
      <c r="F448" s="537"/>
    </row>
    <row r="449" spans="5:6" ht="21" customHeight="1" x14ac:dyDescent="0.4">
      <c r="E449" s="537"/>
      <c r="F449" s="537"/>
    </row>
    <row r="450" spans="5:6" ht="21" customHeight="1" x14ac:dyDescent="0.4">
      <c r="E450" s="537"/>
      <c r="F450" s="537"/>
    </row>
    <row r="451" spans="5:6" ht="21" customHeight="1" x14ac:dyDescent="0.4">
      <c r="E451" s="537"/>
      <c r="F451" s="537"/>
    </row>
    <row r="452" spans="5:6" ht="21" customHeight="1" x14ac:dyDescent="0.4">
      <c r="E452" s="537"/>
      <c r="F452" s="537"/>
    </row>
    <row r="453" spans="5:6" ht="21" customHeight="1" x14ac:dyDescent="0.4">
      <c r="E453" s="537"/>
      <c r="F453" s="537"/>
    </row>
    <row r="454" spans="5:6" ht="21" customHeight="1" x14ac:dyDescent="0.4">
      <c r="E454" s="537"/>
      <c r="F454" s="537"/>
    </row>
    <row r="455" spans="5:6" ht="21" customHeight="1" x14ac:dyDescent="0.4">
      <c r="E455" s="537"/>
      <c r="F455" s="537"/>
    </row>
    <row r="456" spans="5:6" ht="21" customHeight="1" x14ac:dyDescent="0.4">
      <c r="E456" s="537"/>
      <c r="F456" s="537"/>
    </row>
    <row r="457" spans="5:6" ht="21" customHeight="1" x14ac:dyDescent="0.4">
      <c r="E457" s="537"/>
      <c r="F457" s="537"/>
    </row>
    <row r="458" spans="5:6" ht="21" customHeight="1" x14ac:dyDescent="0.4">
      <c r="E458" s="537"/>
      <c r="F458" s="537"/>
    </row>
    <row r="459" spans="5:6" ht="21" customHeight="1" x14ac:dyDescent="0.4">
      <c r="E459" s="537"/>
      <c r="F459" s="537"/>
    </row>
    <row r="460" spans="5:6" ht="21" customHeight="1" x14ac:dyDescent="0.4">
      <c r="E460" s="537"/>
      <c r="F460" s="537"/>
    </row>
    <row r="461" spans="5:6" ht="21" customHeight="1" x14ac:dyDescent="0.4">
      <c r="E461" s="537"/>
      <c r="F461" s="537"/>
    </row>
    <row r="462" spans="5:6" ht="21" customHeight="1" x14ac:dyDescent="0.4">
      <c r="E462" s="537"/>
      <c r="F462" s="537"/>
    </row>
    <row r="463" spans="5:6" ht="21" customHeight="1" x14ac:dyDescent="0.4">
      <c r="E463" s="537"/>
      <c r="F463" s="537"/>
    </row>
    <row r="464" spans="5:6" ht="21" customHeight="1" x14ac:dyDescent="0.4">
      <c r="E464" s="537"/>
      <c r="F464" s="537"/>
    </row>
    <row r="465" spans="5:6" ht="21" customHeight="1" x14ac:dyDescent="0.4">
      <c r="E465" s="537"/>
      <c r="F465" s="537"/>
    </row>
    <row r="466" spans="5:6" ht="21" customHeight="1" x14ac:dyDescent="0.4">
      <c r="E466" s="537"/>
      <c r="F466" s="537"/>
    </row>
    <row r="467" spans="5:6" ht="21" customHeight="1" x14ac:dyDescent="0.4">
      <c r="E467" s="537"/>
      <c r="F467" s="537"/>
    </row>
    <row r="468" spans="5:6" ht="21" customHeight="1" x14ac:dyDescent="0.4">
      <c r="E468" s="537"/>
      <c r="F468" s="537"/>
    </row>
    <row r="469" spans="5:6" ht="21" customHeight="1" x14ac:dyDescent="0.4">
      <c r="E469" s="537"/>
      <c r="F469" s="537"/>
    </row>
    <row r="470" spans="5:6" ht="21" customHeight="1" x14ac:dyDescent="0.4">
      <c r="E470" s="537"/>
      <c r="F470" s="537"/>
    </row>
    <row r="471" spans="5:6" ht="21" customHeight="1" x14ac:dyDescent="0.4">
      <c r="E471" s="537"/>
      <c r="F471" s="537"/>
    </row>
    <row r="472" spans="5:6" ht="21" customHeight="1" x14ac:dyDescent="0.4">
      <c r="E472" s="537"/>
      <c r="F472" s="537"/>
    </row>
    <row r="473" spans="5:6" ht="21" customHeight="1" x14ac:dyDescent="0.4">
      <c r="E473" s="537"/>
      <c r="F473" s="537"/>
    </row>
    <row r="474" spans="5:6" ht="21" customHeight="1" x14ac:dyDescent="0.4">
      <c r="E474" s="537"/>
      <c r="F474" s="537"/>
    </row>
    <row r="475" spans="5:6" ht="21" customHeight="1" x14ac:dyDescent="0.4">
      <c r="E475" s="537"/>
      <c r="F475" s="537"/>
    </row>
    <row r="476" spans="5:6" ht="21" customHeight="1" x14ac:dyDescent="0.4">
      <c r="E476" s="537"/>
      <c r="F476" s="537"/>
    </row>
    <row r="477" spans="5:6" ht="21" customHeight="1" x14ac:dyDescent="0.4">
      <c r="E477" s="537"/>
      <c r="F477" s="537"/>
    </row>
    <row r="478" spans="5:6" ht="21" customHeight="1" x14ac:dyDescent="0.4">
      <c r="E478" s="537"/>
      <c r="F478" s="537"/>
    </row>
    <row r="479" spans="5:6" ht="21" customHeight="1" x14ac:dyDescent="0.4">
      <c r="E479" s="537"/>
      <c r="F479" s="537"/>
    </row>
    <row r="480" spans="5:6" ht="21" customHeight="1" x14ac:dyDescent="0.4">
      <c r="E480" s="537"/>
      <c r="F480" s="537"/>
    </row>
    <row r="481" spans="5:6" ht="21" customHeight="1" x14ac:dyDescent="0.4">
      <c r="E481" s="537"/>
      <c r="F481" s="537"/>
    </row>
    <row r="482" spans="5:6" ht="21" customHeight="1" x14ac:dyDescent="0.4">
      <c r="E482" s="537"/>
      <c r="F482" s="537"/>
    </row>
    <row r="483" spans="5:6" ht="21" customHeight="1" x14ac:dyDescent="0.4">
      <c r="E483" s="537"/>
      <c r="F483" s="537"/>
    </row>
    <row r="484" spans="5:6" ht="21" customHeight="1" x14ac:dyDescent="0.4">
      <c r="E484" s="537"/>
      <c r="F484" s="537"/>
    </row>
    <row r="485" spans="5:6" ht="21" customHeight="1" x14ac:dyDescent="0.4">
      <c r="E485" s="537"/>
      <c r="F485" s="537"/>
    </row>
    <row r="486" spans="5:6" ht="21" customHeight="1" x14ac:dyDescent="0.4">
      <c r="E486" s="537"/>
      <c r="F486" s="537"/>
    </row>
    <row r="487" spans="5:6" ht="21" customHeight="1" x14ac:dyDescent="0.4">
      <c r="E487" s="537"/>
      <c r="F487" s="537"/>
    </row>
    <row r="488" spans="5:6" ht="21" customHeight="1" x14ac:dyDescent="0.4">
      <c r="E488" s="537"/>
      <c r="F488" s="537"/>
    </row>
    <row r="489" spans="5:6" ht="21" customHeight="1" x14ac:dyDescent="0.4">
      <c r="E489" s="537"/>
      <c r="F489" s="537"/>
    </row>
    <row r="490" spans="5:6" ht="21" customHeight="1" x14ac:dyDescent="0.4">
      <c r="E490" s="537"/>
      <c r="F490" s="537"/>
    </row>
    <row r="491" spans="5:6" ht="21" customHeight="1" x14ac:dyDescent="0.4">
      <c r="E491" s="537"/>
      <c r="F491" s="537"/>
    </row>
    <row r="492" spans="5:6" ht="21" customHeight="1" x14ac:dyDescent="0.4">
      <c r="E492" s="537"/>
      <c r="F492" s="537"/>
    </row>
    <row r="493" spans="5:6" ht="21" customHeight="1" x14ac:dyDescent="0.4">
      <c r="E493" s="537"/>
      <c r="F493" s="537"/>
    </row>
    <row r="494" spans="5:6" ht="21" customHeight="1" x14ac:dyDescent="0.4">
      <c r="E494" s="537"/>
      <c r="F494" s="537"/>
    </row>
    <row r="495" spans="5:6" ht="21" customHeight="1" x14ac:dyDescent="0.4">
      <c r="E495" s="537"/>
      <c r="F495" s="537"/>
    </row>
    <row r="496" spans="5:6" ht="21" customHeight="1" x14ac:dyDescent="0.4">
      <c r="E496" s="537"/>
      <c r="F496" s="537"/>
    </row>
    <row r="497" spans="5:6" ht="21" customHeight="1" x14ac:dyDescent="0.4">
      <c r="E497" s="537"/>
      <c r="F497" s="537"/>
    </row>
    <row r="498" spans="5:6" ht="21" customHeight="1" x14ac:dyDescent="0.4">
      <c r="E498" s="537"/>
      <c r="F498" s="537"/>
    </row>
    <row r="499" spans="5:6" ht="21" customHeight="1" x14ac:dyDescent="0.4">
      <c r="E499" s="537"/>
      <c r="F499" s="537"/>
    </row>
    <row r="500" spans="5:6" ht="21" customHeight="1" x14ac:dyDescent="0.4">
      <c r="E500" s="537"/>
      <c r="F500" s="537"/>
    </row>
    <row r="501" spans="5:6" ht="21" customHeight="1" x14ac:dyDescent="0.4">
      <c r="E501" s="537"/>
      <c r="F501" s="537"/>
    </row>
    <row r="502" spans="5:6" ht="21" customHeight="1" x14ac:dyDescent="0.4">
      <c r="E502" s="537"/>
      <c r="F502" s="537"/>
    </row>
    <row r="503" spans="5:6" ht="21" customHeight="1" x14ac:dyDescent="0.4">
      <c r="E503" s="537"/>
      <c r="F503" s="537"/>
    </row>
    <row r="504" spans="5:6" ht="21" customHeight="1" x14ac:dyDescent="0.4">
      <c r="E504" s="537"/>
      <c r="F504" s="537"/>
    </row>
    <row r="505" spans="5:6" ht="21" customHeight="1" x14ac:dyDescent="0.4">
      <c r="E505" s="537"/>
      <c r="F505" s="537"/>
    </row>
    <row r="506" spans="5:6" ht="21" customHeight="1" x14ac:dyDescent="0.4">
      <c r="E506" s="537"/>
      <c r="F506" s="537"/>
    </row>
    <row r="507" spans="5:6" ht="21" customHeight="1" x14ac:dyDescent="0.4">
      <c r="E507" s="537"/>
      <c r="F507" s="537"/>
    </row>
    <row r="508" spans="5:6" ht="21" customHeight="1" x14ac:dyDescent="0.4">
      <c r="E508" s="537"/>
      <c r="F508" s="537"/>
    </row>
    <row r="509" spans="5:6" ht="21" customHeight="1" x14ac:dyDescent="0.4">
      <c r="E509" s="537"/>
      <c r="F509" s="537"/>
    </row>
    <row r="510" spans="5:6" ht="21" customHeight="1" x14ac:dyDescent="0.4">
      <c r="E510" s="537"/>
      <c r="F510" s="537"/>
    </row>
    <row r="511" spans="5:6" ht="21" customHeight="1" x14ac:dyDescent="0.4">
      <c r="E511" s="537"/>
      <c r="F511" s="537"/>
    </row>
    <row r="512" spans="5:6" ht="21" customHeight="1" x14ac:dyDescent="0.4">
      <c r="E512" s="537"/>
      <c r="F512" s="537"/>
    </row>
    <row r="513" spans="5:6" ht="21" customHeight="1" x14ac:dyDescent="0.4">
      <c r="E513" s="537"/>
      <c r="F513" s="537"/>
    </row>
    <row r="514" spans="5:6" ht="21" customHeight="1" x14ac:dyDescent="0.4">
      <c r="E514" s="537"/>
      <c r="F514" s="537"/>
    </row>
    <row r="515" spans="5:6" ht="21" customHeight="1" x14ac:dyDescent="0.4">
      <c r="E515" s="537"/>
      <c r="F515" s="537"/>
    </row>
    <row r="516" spans="5:6" ht="21" customHeight="1" x14ac:dyDescent="0.4">
      <c r="E516" s="537"/>
      <c r="F516" s="537"/>
    </row>
    <row r="517" spans="5:6" ht="21" customHeight="1" x14ac:dyDescent="0.4">
      <c r="E517" s="537"/>
      <c r="F517" s="537"/>
    </row>
    <row r="518" spans="5:6" ht="21" customHeight="1" x14ac:dyDescent="0.4">
      <c r="E518" s="537"/>
      <c r="F518" s="537"/>
    </row>
    <row r="519" spans="5:6" ht="21" customHeight="1" x14ac:dyDescent="0.4">
      <c r="E519" s="537"/>
      <c r="F519" s="537"/>
    </row>
    <row r="520" spans="5:6" ht="21" customHeight="1" x14ac:dyDescent="0.4">
      <c r="E520" s="537"/>
      <c r="F520" s="537"/>
    </row>
    <row r="521" spans="5:6" ht="21" customHeight="1" x14ac:dyDescent="0.4">
      <c r="E521" s="537"/>
      <c r="F521" s="537"/>
    </row>
    <row r="522" spans="5:6" ht="21" customHeight="1" x14ac:dyDescent="0.4">
      <c r="E522" s="537"/>
      <c r="F522" s="537"/>
    </row>
    <row r="523" spans="5:6" ht="21" customHeight="1" x14ac:dyDescent="0.4">
      <c r="E523" s="537"/>
      <c r="F523" s="537"/>
    </row>
    <row r="524" spans="5:6" ht="21" customHeight="1" x14ac:dyDescent="0.4">
      <c r="E524" s="537"/>
      <c r="F524" s="537"/>
    </row>
    <row r="525" spans="5:6" ht="21" customHeight="1" x14ac:dyDescent="0.4">
      <c r="E525" s="537"/>
      <c r="F525" s="537"/>
    </row>
    <row r="526" spans="5:6" ht="21" customHeight="1" x14ac:dyDescent="0.4">
      <c r="E526" s="537"/>
      <c r="F526" s="537"/>
    </row>
    <row r="527" spans="5:6" ht="21" customHeight="1" x14ac:dyDescent="0.4">
      <c r="E527" s="537"/>
      <c r="F527" s="537"/>
    </row>
    <row r="528" spans="5:6" ht="21" customHeight="1" x14ac:dyDescent="0.4">
      <c r="E528" s="537"/>
      <c r="F528" s="537"/>
    </row>
    <row r="529" spans="5:6" ht="21" customHeight="1" x14ac:dyDescent="0.4">
      <c r="E529" s="537"/>
      <c r="F529" s="537"/>
    </row>
    <row r="530" spans="5:6" ht="21" customHeight="1" x14ac:dyDescent="0.4">
      <c r="E530" s="537"/>
      <c r="F530" s="537"/>
    </row>
    <row r="531" spans="5:6" ht="21" customHeight="1" x14ac:dyDescent="0.4">
      <c r="E531" s="537"/>
      <c r="F531" s="537"/>
    </row>
    <row r="532" spans="5:6" ht="21" customHeight="1" x14ac:dyDescent="0.4">
      <c r="E532" s="537"/>
      <c r="F532" s="537"/>
    </row>
    <row r="533" spans="5:6" ht="21" customHeight="1" x14ac:dyDescent="0.4">
      <c r="E533" s="537"/>
      <c r="F533" s="537"/>
    </row>
    <row r="534" spans="5:6" ht="21" customHeight="1" x14ac:dyDescent="0.4">
      <c r="E534" s="537"/>
      <c r="F534" s="537"/>
    </row>
    <row r="535" spans="5:6" ht="21" customHeight="1" x14ac:dyDescent="0.4">
      <c r="E535" s="537"/>
      <c r="F535" s="537"/>
    </row>
    <row r="536" spans="5:6" ht="21" customHeight="1" x14ac:dyDescent="0.4">
      <c r="E536" s="537"/>
      <c r="F536" s="537"/>
    </row>
    <row r="537" spans="5:6" ht="21" customHeight="1" x14ac:dyDescent="0.4">
      <c r="E537" s="537"/>
      <c r="F537" s="537"/>
    </row>
    <row r="538" spans="5:6" ht="21" customHeight="1" x14ac:dyDescent="0.4">
      <c r="E538" s="537"/>
      <c r="F538" s="537"/>
    </row>
    <row r="539" spans="5:6" ht="21" customHeight="1" x14ac:dyDescent="0.4">
      <c r="E539" s="537"/>
      <c r="F539" s="537"/>
    </row>
    <row r="540" spans="5:6" ht="21" customHeight="1" x14ac:dyDescent="0.4">
      <c r="E540" s="537"/>
      <c r="F540" s="537"/>
    </row>
    <row r="541" spans="5:6" ht="21" customHeight="1" x14ac:dyDescent="0.4">
      <c r="E541" s="537"/>
      <c r="F541" s="537"/>
    </row>
    <row r="542" spans="5:6" ht="21" customHeight="1" x14ac:dyDescent="0.4">
      <c r="E542" s="537"/>
      <c r="F542" s="537"/>
    </row>
    <row r="543" spans="5:6" ht="21" customHeight="1" x14ac:dyDescent="0.4">
      <c r="E543" s="537"/>
      <c r="F543" s="537"/>
    </row>
    <row r="544" spans="5:6" ht="21" customHeight="1" x14ac:dyDescent="0.4">
      <c r="E544" s="537"/>
      <c r="F544" s="537"/>
    </row>
    <row r="545" spans="5:6" ht="21" customHeight="1" x14ac:dyDescent="0.4">
      <c r="E545" s="537"/>
      <c r="F545" s="537"/>
    </row>
    <row r="546" spans="5:6" ht="21" customHeight="1" x14ac:dyDescent="0.4">
      <c r="E546" s="537"/>
      <c r="F546" s="537"/>
    </row>
    <row r="547" spans="5:6" ht="21" customHeight="1" x14ac:dyDescent="0.4">
      <c r="E547" s="537"/>
      <c r="F547" s="537"/>
    </row>
    <row r="548" spans="5:6" ht="21" customHeight="1" x14ac:dyDescent="0.4">
      <c r="E548" s="537"/>
      <c r="F548" s="537"/>
    </row>
    <row r="549" spans="5:6" ht="21" customHeight="1" x14ac:dyDescent="0.4">
      <c r="E549" s="537"/>
      <c r="F549" s="537"/>
    </row>
    <row r="550" spans="5:6" ht="21" customHeight="1" x14ac:dyDescent="0.4">
      <c r="E550" s="537"/>
      <c r="F550" s="537"/>
    </row>
    <row r="551" spans="5:6" ht="21" customHeight="1" x14ac:dyDescent="0.4">
      <c r="E551" s="537"/>
      <c r="F551" s="537"/>
    </row>
    <row r="552" spans="5:6" ht="21" customHeight="1" x14ac:dyDescent="0.4">
      <c r="E552" s="537"/>
      <c r="F552" s="537"/>
    </row>
    <row r="553" spans="5:6" ht="21" customHeight="1" x14ac:dyDescent="0.4">
      <c r="E553" s="537"/>
      <c r="F553" s="537"/>
    </row>
    <row r="554" spans="5:6" ht="21" customHeight="1" x14ac:dyDescent="0.4">
      <c r="E554" s="537"/>
      <c r="F554" s="537"/>
    </row>
    <row r="555" spans="5:6" ht="21" customHeight="1" x14ac:dyDescent="0.4">
      <c r="E555" s="537"/>
      <c r="F555" s="537"/>
    </row>
    <row r="556" spans="5:6" ht="21" customHeight="1" x14ac:dyDescent="0.4">
      <c r="E556" s="537"/>
      <c r="F556" s="537"/>
    </row>
    <row r="557" spans="5:6" ht="21" customHeight="1" x14ac:dyDescent="0.4">
      <c r="E557" s="537"/>
      <c r="F557" s="537"/>
    </row>
    <row r="558" spans="5:6" ht="21" customHeight="1" x14ac:dyDescent="0.4">
      <c r="E558" s="537"/>
      <c r="F558" s="537"/>
    </row>
    <row r="559" spans="5:6" ht="21" customHeight="1" x14ac:dyDescent="0.4">
      <c r="E559" s="537"/>
      <c r="F559" s="537"/>
    </row>
    <row r="560" spans="5:6" ht="21" customHeight="1" x14ac:dyDescent="0.4">
      <c r="E560" s="537"/>
      <c r="F560" s="537"/>
    </row>
    <row r="561" spans="5:6" ht="21" customHeight="1" x14ac:dyDescent="0.4">
      <c r="E561" s="537"/>
      <c r="F561" s="537"/>
    </row>
    <row r="562" spans="5:6" ht="21" customHeight="1" x14ac:dyDescent="0.4">
      <c r="E562" s="537"/>
      <c r="F562" s="537"/>
    </row>
    <row r="563" spans="5:6" ht="21" customHeight="1" x14ac:dyDescent="0.4">
      <c r="E563" s="537"/>
      <c r="F563" s="537"/>
    </row>
    <row r="564" spans="5:6" ht="21" customHeight="1" x14ac:dyDescent="0.4">
      <c r="E564" s="537"/>
      <c r="F564" s="537"/>
    </row>
    <row r="565" spans="5:6" ht="21" customHeight="1" x14ac:dyDescent="0.4">
      <c r="E565" s="537"/>
      <c r="F565" s="537"/>
    </row>
    <row r="566" spans="5:6" ht="21" customHeight="1" x14ac:dyDescent="0.4">
      <c r="E566" s="537"/>
      <c r="F566" s="537"/>
    </row>
    <row r="567" spans="5:6" ht="21" customHeight="1" x14ac:dyDescent="0.4">
      <c r="E567" s="537"/>
      <c r="F567" s="537"/>
    </row>
    <row r="568" spans="5:6" ht="21" customHeight="1" x14ac:dyDescent="0.4">
      <c r="E568" s="537"/>
      <c r="F568" s="537"/>
    </row>
    <row r="569" spans="5:6" ht="21" customHeight="1" x14ac:dyDescent="0.4">
      <c r="E569" s="537"/>
      <c r="F569" s="537"/>
    </row>
    <row r="570" spans="5:6" ht="21" customHeight="1" x14ac:dyDescent="0.4">
      <c r="E570" s="537"/>
      <c r="F570" s="537"/>
    </row>
    <row r="571" spans="5:6" ht="21" customHeight="1" x14ac:dyDescent="0.4">
      <c r="E571" s="537"/>
      <c r="F571" s="537"/>
    </row>
    <row r="572" spans="5:6" ht="21" customHeight="1" x14ac:dyDescent="0.4">
      <c r="E572" s="537"/>
      <c r="F572" s="537"/>
    </row>
    <row r="573" spans="5:6" ht="21" customHeight="1" x14ac:dyDescent="0.4">
      <c r="E573" s="537"/>
      <c r="F573" s="537"/>
    </row>
    <row r="574" spans="5:6" ht="21" customHeight="1" x14ac:dyDescent="0.4">
      <c r="E574" s="537"/>
      <c r="F574" s="537"/>
    </row>
    <row r="575" spans="5:6" ht="21" customHeight="1" x14ac:dyDescent="0.4">
      <c r="E575" s="537"/>
      <c r="F575" s="537"/>
    </row>
    <row r="576" spans="5:6" ht="21" customHeight="1" x14ac:dyDescent="0.4">
      <c r="E576" s="537"/>
      <c r="F576" s="537"/>
    </row>
    <row r="577" spans="5:6" ht="21" customHeight="1" x14ac:dyDescent="0.4">
      <c r="E577" s="537"/>
      <c r="F577" s="537"/>
    </row>
    <row r="578" spans="5:6" ht="21" customHeight="1" x14ac:dyDescent="0.4">
      <c r="E578" s="537"/>
      <c r="F578" s="537"/>
    </row>
    <row r="579" spans="5:6" ht="21" customHeight="1" x14ac:dyDescent="0.4">
      <c r="E579" s="537"/>
      <c r="F579" s="537"/>
    </row>
    <row r="580" spans="5:6" ht="21" customHeight="1" x14ac:dyDescent="0.4">
      <c r="E580" s="537"/>
      <c r="F580" s="537"/>
    </row>
    <row r="581" spans="5:6" ht="21" customHeight="1" x14ac:dyDescent="0.4">
      <c r="E581" s="537"/>
      <c r="F581" s="537"/>
    </row>
    <row r="582" spans="5:6" ht="21" customHeight="1" x14ac:dyDescent="0.4">
      <c r="E582" s="537"/>
      <c r="F582" s="537"/>
    </row>
    <row r="583" spans="5:6" ht="21" customHeight="1" x14ac:dyDescent="0.4">
      <c r="E583" s="537"/>
      <c r="F583" s="537"/>
    </row>
    <row r="584" spans="5:6" ht="21" customHeight="1" x14ac:dyDescent="0.4">
      <c r="E584" s="537"/>
      <c r="F584" s="537"/>
    </row>
    <row r="585" spans="5:6" ht="21" customHeight="1" x14ac:dyDescent="0.4">
      <c r="E585" s="537"/>
      <c r="F585" s="537"/>
    </row>
    <row r="586" spans="5:6" ht="21" customHeight="1" x14ac:dyDescent="0.4">
      <c r="E586" s="537"/>
      <c r="F586" s="537"/>
    </row>
    <row r="587" spans="5:6" ht="21" customHeight="1" x14ac:dyDescent="0.4">
      <c r="E587" s="537"/>
      <c r="F587" s="537"/>
    </row>
    <row r="588" spans="5:6" ht="21" customHeight="1" x14ac:dyDescent="0.4">
      <c r="E588" s="537"/>
      <c r="F588" s="537"/>
    </row>
    <row r="589" spans="5:6" ht="21" customHeight="1" x14ac:dyDescent="0.4">
      <c r="E589" s="537"/>
      <c r="F589" s="537"/>
    </row>
    <row r="590" spans="5:6" ht="21" customHeight="1" x14ac:dyDescent="0.4">
      <c r="E590" s="537"/>
      <c r="F590" s="537"/>
    </row>
    <row r="591" spans="5:6" ht="21" customHeight="1" x14ac:dyDescent="0.4">
      <c r="E591" s="537"/>
      <c r="F591" s="537"/>
    </row>
    <row r="592" spans="5:6" ht="21" customHeight="1" x14ac:dyDescent="0.4">
      <c r="E592" s="537"/>
      <c r="F592" s="537"/>
    </row>
    <row r="593" spans="5:6" ht="21" customHeight="1" x14ac:dyDescent="0.4">
      <c r="E593" s="537"/>
      <c r="F593" s="537"/>
    </row>
    <row r="594" spans="5:6" ht="21" customHeight="1" x14ac:dyDescent="0.4">
      <c r="E594" s="537"/>
      <c r="F594" s="537"/>
    </row>
    <row r="595" spans="5:6" ht="21" customHeight="1" x14ac:dyDescent="0.4">
      <c r="E595" s="537"/>
      <c r="F595" s="537"/>
    </row>
    <row r="596" spans="5:6" ht="21" customHeight="1" x14ac:dyDescent="0.4">
      <c r="E596" s="537"/>
      <c r="F596" s="537"/>
    </row>
    <row r="597" spans="5:6" ht="21" customHeight="1" x14ac:dyDescent="0.4">
      <c r="E597" s="537"/>
      <c r="F597" s="537"/>
    </row>
    <row r="598" spans="5:6" ht="21" customHeight="1" x14ac:dyDescent="0.4">
      <c r="E598" s="537"/>
      <c r="F598" s="537"/>
    </row>
    <row r="599" spans="5:6" ht="21" customHeight="1" x14ac:dyDescent="0.4">
      <c r="E599" s="537"/>
      <c r="F599" s="537"/>
    </row>
    <row r="600" spans="5:6" ht="21" customHeight="1" x14ac:dyDescent="0.4">
      <c r="E600" s="537"/>
      <c r="F600" s="537"/>
    </row>
    <row r="601" spans="5:6" ht="21" customHeight="1" x14ac:dyDescent="0.4">
      <c r="E601" s="537"/>
      <c r="F601" s="537"/>
    </row>
    <row r="602" spans="5:6" ht="21" customHeight="1" x14ac:dyDescent="0.4">
      <c r="E602" s="537"/>
      <c r="F602" s="537"/>
    </row>
    <row r="603" spans="5:6" ht="21" customHeight="1" x14ac:dyDescent="0.4">
      <c r="E603" s="537"/>
      <c r="F603" s="537"/>
    </row>
    <row r="604" spans="5:6" ht="21" customHeight="1" x14ac:dyDescent="0.4">
      <c r="E604" s="537"/>
      <c r="F604" s="537"/>
    </row>
    <row r="605" spans="5:6" ht="21" customHeight="1" x14ac:dyDescent="0.4">
      <c r="E605" s="537"/>
      <c r="F605" s="537"/>
    </row>
    <row r="606" spans="5:6" ht="21" customHeight="1" x14ac:dyDescent="0.4">
      <c r="E606" s="537"/>
      <c r="F606" s="537"/>
    </row>
    <row r="607" spans="5:6" ht="21" customHeight="1" x14ac:dyDescent="0.4">
      <c r="E607" s="537"/>
      <c r="F607" s="537"/>
    </row>
    <row r="608" spans="5:6" ht="21" customHeight="1" x14ac:dyDescent="0.4">
      <c r="E608" s="537"/>
      <c r="F608" s="537"/>
    </row>
    <row r="609" spans="5:6" ht="21" customHeight="1" x14ac:dyDescent="0.4">
      <c r="E609" s="537"/>
      <c r="F609" s="537"/>
    </row>
    <row r="610" spans="5:6" ht="21" customHeight="1" x14ac:dyDescent="0.4">
      <c r="E610" s="537"/>
      <c r="F610" s="537"/>
    </row>
    <row r="611" spans="5:6" ht="21" customHeight="1" x14ac:dyDescent="0.4">
      <c r="E611" s="537"/>
      <c r="F611" s="537"/>
    </row>
    <row r="612" spans="5:6" ht="21" customHeight="1" x14ac:dyDescent="0.4">
      <c r="E612" s="537"/>
      <c r="F612" s="537"/>
    </row>
    <row r="613" spans="5:6" ht="21" customHeight="1" x14ac:dyDescent="0.4">
      <c r="E613" s="537"/>
      <c r="F613" s="537"/>
    </row>
    <row r="614" spans="5:6" ht="21" customHeight="1" x14ac:dyDescent="0.4">
      <c r="E614" s="537"/>
      <c r="F614" s="537"/>
    </row>
    <row r="615" spans="5:6" ht="21" customHeight="1" x14ac:dyDescent="0.4">
      <c r="E615" s="537"/>
      <c r="F615" s="537"/>
    </row>
    <row r="616" spans="5:6" ht="21" customHeight="1" x14ac:dyDescent="0.4">
      <c r="E616" s="537"/>
      <c r="F616" s="537"/>
    </row>
    <row r="617" spans="5:6" ht="21" customHeight="1" x14ac:dyDescent="0.4">
      <c r="E617" s="537"/>
      <c r="F617" s="537"/>
    </row>
    <row r="618" spans="5:6" ht="21" customHeight="1" x14ac:dyDescent="0.4">
      <c r="E618" s="537"/>
      <c r="F618" s="537"/>
    </row>
    <row r="619" spans="5:6" ht="21" customHeight="1" x14ac:dyDescent="0.4">
      <c r="E619" s="537"/>
      <c r="F619" s="537"/>
    </row>
    <row r="620" spans="5:6" ht="21" customHeight="1" x14ac:dyDescent="0.4">
      <c r="E620" s="537"/>
      <c r="F620" s="537"/>
    </row>
    <row r="621" spans="5:6" ht="21" customHeight="1" x14ac:dyDescent="0.4">
      <c r="E621" s="537"/>
      <c r="F621" s="537"/>
    </row>
    <row r="622" spans="5:6" ht="21" customHeight="1" x14ac:dyDescent="0.4">
      <c r="E622" s="537"/>
      <c r="F622" s="537"/>
    </row>
    <row r="623" spans="5:6" ht="21" customHeight="1" x14ac:dyDescent="0.4">
      <c r="E623" s="537"/>
      <c r="F623" s="537"/>
    </row>
    <row r="624" spans="5:6" ht="21" customHeight="1" x14ac:dyDescent="0.4">
      <c r="E624" s="537"/>
      <c r="F624" s="537"/>
    </row>
    <row r="625" spans="5:6" ht="21" customHeight="1" x14ac:dyDescent="0.4">
      <c r="E625" s="537"/>
      <c r="F625" s="537"/>
    </row>
    <row r="626" spans="5:6" ht="21" customHeight="1" x14ac:dyDescent="0.4">
      <c r="E626" s="537"/>
      <c r="F626" s="537"/>
    </row>
    <row r="627" spans="5:6" ht="21" customHeight="1" x14ac:dyDescent="0.4">
      <c r="E627" s="537"/>
      <c r="F627" s="537"/>
    </row>
    <row r="628" spans="5:6" ht="21" customHeight="1" x14ac:dyDescent="0.4">
      <c r="E628" s="537"/>
      <c r="F628" s="537"/>
    </row>
    <row r="629" spans="5:6" ht="21" customHeight="1" x14ac:dyDescent="0.4">
      <c r="E629" s="537"/>
      <c r="F629" s="537"/>
    </row>
    <row r="630" spans="5:6" ht="21" customHeight="1" x14ac:dyDescent="0.4">
      <c r="E630" s="537"/>
      <c r="F630" s="537"/>
    </row>
    <row r="631" spans="5:6" ht="21" customHeight="1" x14ac:dyDescent="0.4">
      <c r="E631" s="537"/>
      <c r="F631" s="537"/>
    </row>
    <row r="632" spans="5:6" ht="21" customHeight="1" x14ac:dyDescent="0.4">
      <c r="E632" s="537"/>
      <c r="F632" s="537"/>
    </row>
    <row r="633" spans="5:6" ht="21" customHeight="1" x14ac:dyDescent="0.4">
      <c r="E633" s="537"/>
      <c r="F633" s="537"/>
    </row>
    <row r="634" spans="5:6" ht="21" customHeight="1" x14ac:dyDescent="0.4">
      <c r="E634" s="537"/>
      <c r="F634" s="537"/>
    </row>
    <row r="635" spans="5:6" ht="21" customHeight="1" x14ac:dyDescent="0.4">
      <c r="E635" s="537"/>
      <c r="F635" s="537"/>
    </row>
    <row r="636" spans="5:6" ht="21" customHeight="1" x14ac:dyDescent="0.4">
      <c r="E636" s="537"/>
      <c r="F636" s="537"/>
    </row>
    <row r="637" spans="5:6" ht="21" customHeight="1" x14ac:dyDescent="0.4">
      <c r="E637" s="537"/>
      <c r="F637" s="537"/>
    </row>
    <row r="638" spans="5:6" ht="21" customHeight="1" x14ac:dyDescent="0.4">
      <c r="E638" s="537"/>
      <c r="F638" s="537"/>
    </row>
    <row r="639" spans="5:6" ht="21" customHeight="1" x14ac:dyDescent="0.4">
      <c r="E639" s="537"/>
      <c r="F639" s="537"/>
    </row>
    <row r="640" spans="5:6" ht="21" customHeight="1" x14ac:dyDescent="0.4">
      <c r="E640" s="537"/>
      <c r="F640" s="537"/>
    </row>
    <row r="641" spans="5:6" ht="21" customHeight="1" x14ac:dyDescent="0.4">
      <c r="E641" s="537"/>
      <c r="F641" s="537"/>
    </row>
    <row r="642" spans="5:6" ht="21" customHeight="1" x14ac:dyDescent="0.4">
      <c r="E642" s="537"/>
      <c r="F642" s="537"/>
    </row>
    <row r="643" spans="5:6" ht="21" customHeight="1" x14ac:dyDescent="0.4">
      <c r="E643" s="537"/>
      <c r="F643" s="537"/>
    </row>
    <row r="644" spans="5:6" ht="21" customHeight="1" x14ac:dyDescent="0.4">
      <c r="E644" s="537"/>
      <c r="F644" s="537"/>
    </row>
    <row r="645" spans="5:6" ht="21" customHeight="1" x14ac:dyDescent="0.4">
      <c r="E645" s="537"/>
      <c r="F645" s="537"/>
    </row>
    <row r="646" spans="5:6" ht="21" customHeight="1" x14ac:dyDescent="0.4">
      <c r="E646" s="537"/>
      <c r="F646" s="537"/>
    </row>
    <row r="647" spans="5:6" ht="21" customHeight="1" x14ac:dyDescent="0.4">
      <c r="E647" s="537"/>
      <c r="F647" s="537"/>
    </row>
    <row r="648" spans="5:6" ht="21" customHeight="1" x14ac:dyDescent="0.4">
      <c r="E648" s="537"/>
      <c r="F648" s="537"/>
    </row>
    <row r="649" spans="5:6" ht="21" customHeight="1" x14ac:dyDescent="0.4">
      <c r="E649" s="537"/>
      <c r="F649" s="537"/>
    </row>
    <row r="650" spans="5:6" ht="21" customHeight="1" x14ac:dyDescent="0.4">
      <c r="E650" s="537"/>
      <c r="F650" s="537"/>
    </row>
    <row r="651" spans="5:6" ht="21" customHeight="1" x14ac:dyDescent="0.4">
      <c r="E651" s="537"/>
      <c r="F651" s="537"/>
    </row>
    <row r="652" spans="5:6" ht="21" customHeight="1" x14ac:dyDescent="0.4">
      <c r="E652" s="537"/>
      <c r="F652" s="537"/>
    </row>
    <row r="653" spans="5:6" ht="21" customHeight="1" x14ac:dyDescent="0.4">
      <c r="E653" s="537"/>
      <c r="F653" s="537"/>
    </row>
    <row r="654" spans="5:6" ht="21" customHeight="1" x14ac:dyDescent="0.4">
      <c r="E654" s="537"/>
      <c r="F654" s="537"/>
    </row>
    <row r="655" spans="5:6" ht="21" customHeight="1" x14ac:dyDescent="0.4">
      <c r="E655" s="537"/>
      <c r="F655" s="537"/>
    </row>
    <row r="656" spans="5:6" ht="21" customHeight="1" x14ac:dyDescent="0.4">
      <c r="E656" s="537"/>
      <c r="F656" s="537"/>
    </row>
    <row r="657" spans="5:6" ht="21" customHeight="1" x14ac:dyDescent="0.4">
      <c r="E657" s="537"/>
      <c r="F657" s="537"/>
    </row>
    <row r="658" spans="5:6" ht="21" customHeight="1" x14ac:dyDescent="0.4">
      <c r="E658" s="537"/>
      <c r="F658" s="537"/>
    </row>
    <row r="659" spans="5:6" ht="21" customHeight="1" x14ac:dyDescent="0.4">
      <c r="E659" s="537"/>
      <c r="F659" s="537"/>
    </row>
    <row r="660" spans="5:6" ht="21" customHeight="1" x14ac:dyDescent="0.4">
      <c r="E660" s="537"/>
      <c r="F660" s="537"/>
    </row>
    <row r="661" spans="5:6" ht="21" customHeight="1" x14ac:dyDescent="0.4">
      <c r="E661" s="537"/>
      <c r="F661" s="537"/>
    </row>
    <row r="662" spans="5:6" ht="21" customHeight="1" x14ac:dyDescent="0.4">
      <c r="E662" s="537"/>
      <c r="F662" s="537"/>
    </row>
    <row r="663" spans="5:6" ht="21" customHeight="1" x14ac:dyDescent="0.4">
      <c r="E663" s="537"/>
      <c r="F663" s="537"/>
    </row>
    <row r="664" spans="5:6" ht="21" customHeight="1" x14ac:dyDescent="0.4">
      <c r="E664" s="537"/>
      <c r="F664" s="537"/>
    </row>
    <row r="665" spans="5:6" ht="21" customHeight="1" x14ac:dyDescent="0.4">
      <c r="E665" s="537"/>
      <c r="F665" s="537"/>
    </row>
    <row r="666" spans="5:6" ht="21" customHeight="1" x14ac:dyDescent="0.4">
      <c r="E666" s="537"/>
      <c r="F666" s="537"/>
    </row>
    <row r="667" spans="5:6" ht="21" customHeight="1" x14ac:dyDescent="0.4">
      <c r="E667" s="537"/>
      <c r="F667" s="537"/>
    </row>
    <row r="668" spans="5:6" ht="21" customHeight="1" x14ac:dyDescent="0.4">
      <c r="E668" s="537"/>
      <c r="F668" s="537"/>
    </row>
    <row r="669" spans="5:6" ht="21" customHeight="1" x14ac:dyDescent="0.4">
      <c r="E669" s="537"/>
      <c r="F669" s="537"/>
    </row>
    <row r="670" spans="5:6" ht="21" customHeight="1" x14ac:dyDescent="0.4">
      <c r="E670" s="537"/>
      <c r="F670" s="537"/>
    </row>
    <row r="671" spans="5:6" ht="21" customHeight="1" x14ac:dyDescent="0.4">
      <c r="E671" s="537"/>
      <c r="F671" s="537"/>
    </row>
    <row r="672" spans="5:6" ht="21" customHeight="1" x14ac:dyDescent="0.4">
      <c r="E672" s="537"/>
      <c r="F672" s="537"/>
    </row>
    <row r="673" spans="5:6" ht="21" customHeight="1" x14ac:dyDescent="0.4">
      <c r="E673" s="537"/>
      <c r="F673" s="537"/>
    </row>
    <row r="674" spans="5:6" ht="21" customHeight="1" x14ac:dyDescent="0.4">
      <c r="E674" s="537"/>
      <c r="F674" s="537"/>
    </row>
    <row r="675" spans="5:6" ht="21" customHeight="1" x14ac:dyDescent="0.4">
      <c r="E675" s="537"/>
      <c r="F675" s="537"/>
    </row>
    <row r="676" spans="5:6" ht="21" customHeight="1" x14ac:dyDescent="0.4">
      <c r="E676" s="537"/>
      <c r="F676" s="537"/>
    </row>
    <row r="677" spans="5:6" ht="21" customHeight="1" x14ac:dyDescent="0.4">
      <c r="E677" s="537"/>
      <c r="F677" s="537"/>
    </row>
    <row r="678" spans="5:6" ht="21" customHeight="1" x14ac:dyDescent="0.4">
      <c r="E678" s="537"/>
      <c r="F678" s="537"/>
    </row>
    <row r="679" spans="5:6" ht="21" customHeight="1" x14ac:dyDescent="0.4">
      <c r="E679" s="537"/>
      <c r="F679" s="537"/>
    </row>
    <row r="680" spans="5:6" ht="21" customHeight="1" x14ac:dyDescent="0.4">
      <c r="E680" s="537"/>
      <c r="F680" s="537"/>
    </row>
    <row r="681" spans="5:6" ht="21" customHeight="1" x14ac:dyDescent="0.4">
      <c r="E681" s="537"/>
      <c r="F681" s="537"/>
    </row>
    <row r="682" spans="5:6" ht="21" customHeight="1" x14ac:dyDescent="0.4">
      <c r="E682" s="537"/>
      <c r="F682" s="537"/>
    </row>
    <row r="683" spans="5:6" ht="21" customHeight="1" x14ac:dyDescent="0.4">
      <c r="E683" s="537"/>
      <c r="F683" s="537"/>
    </row>
    <row r="684" spans="5:6" ht="21" customHeight="1" x14ac:dyDescent="0.4">
      <c r="E684" s="537"/>
      <c r="F684" s="537"/>
    </row>
    <row r="685" spans="5:6" ht="21" customHeight="1" x14ac:dyDescent="0.4">
      <c r="E685" s="537"/>
      <c r="F685" s="537"/>
    </row>
    <row r="686" spans="5:6" ht="21" customHeight="1" x14ac:dyDescent="0.4">
      <c r="E686" s="537"/>
      <c r="F686" s="537"/>
    </row>
    <row r="687" spans="5:6" ht="21" customHeight="1" x14ac:dyDescent="0.4">
      <c r="E687" s="537"/>
      <c r="F687" s="537"/>
    </row>
    <row r="688" spans="5:6" ht="21" customHeight="1" x14ac:dyDescent="0.4">
      <c r="E688" s="537"/>
      <c r="F688" s="537"/>
    </row>
    <row r="689" spans="5:6" ht="21" customHeight="1" x14ac:dyDescent="0.4">
      <c r="E689" s="537"/>
      <c r="F689" s="537"/>
    </row>
    <row r="690" spans="5:6" ht="21" customHeight="1" x14ac:dyDescent="0.4">
      <c r="E690" s="537"/>
      <c r="F690" s="537"/>
    </row>
    <row r="691" spans="5:6" ht="21" customHeight="1" x14ac:dyDescent="0.4">
      <c r="E691" s="537"/>
      <c r="F691" s="537"/>
    </row>
    <row r="692" spans="5:6" ht="21" customHeight="1" x14ac:dyDescent="0.4">
      <c r="E692" s="537"/>
      <c r="F692" s="537"/>
    </row>
    <row r="693" spans="5:6" ht="21" customHeight="1" x14ac:dyDescent="0.4">
      <c r="E693" s="537"/>
      <c r="F693" s="537"/>
    </row>
    <row r="694" spans="5:6" ht="21" customHeight="1" x14ac:dyDescent="0.4">
      <c r="E694" s="537"/>
      <c r="F694" s="537"/>
    </row>
    <row r="695" spans="5:6" ht="21" customHeight="1" x14ac:dyDescent="0.4">
      <c r="E695" s="537"/>
      <c r="F695" s="537"/>
    </row>
    <row r="696" spans="5:6" ht="21" customHeight="1" x14ac:dyDescent="0.4">
      <c r="E696" s="537"/>
      <c r="F696" s="537"/>
    </row>
    <row r="697" spans="5:6" ht="21" customHeight="1" x14ac:dyDescent="0.4">
      <c r="E697" s="537"/>
      <c r="F697" s="537"/>
    </row>
    <row r="698" spans="5:6" ht="21" customHeight="1" x14ac:dyDescent="0.4">
      <c r="E698" s="537"/>
      <c r="F698" s="537"/>
    </row>
    <row r="699" spans="5:6" ht="21" customHeight="1" x14ac:dyDescent="0.4">
      <c r="E699" s="537"/>
      <c r="F699" s="537"/>
    </row>
    <row r="700" spans="5:6" ht="21" customHeight="1" x14ac:dyDescent="0.4">
      <c r="E700" s="537"/>
      <c r="F700" s="537"/>
    </row>
    <row r="701" spans="5:6" ht="21" customHeight="1" x14ac:dyDescent="0.4">
      <c r="E701" s="537"/>
      <c r="F701" s="537"/>
    </row>
    <row r="702" spans="5:6" ht="21" customHeight="1" x14ac:dyDescent="0.4">
      <c r="E702" s="537"/>
      <c r="F702" s="537"/>
    </row>
    <row r="703" spans="5:6" ht="21" customHeight="1" x14ac:dyDescent="0.4">
      <c r="E703" s="537"/>
      <c r="F703" s="537"/>
    </row>
    <row r="704" spans="5:6" ht="21" customHeight="1" x14ac:dyDescent="0.4">
      <c r="E704" s="537"/>
      <c r="F704" s="537"/>
    </row>
    <row r="705" spans="5:6" ht="21" customHeight="1" x14ac:dyDescent="0.4">
      <c r="E705" s="537"/>
      <c r="F705" s="537"/>
    </row>
    <row r="706" spans="5:6" ht="21" customHeight="1" x14ac:dyDescent="0.4">
      <c r="E706" s="537"/>
      <c r="F706" s="537"/>
    </row>
    <row r="707" spans="5:6" ht="21" customHeight="1" x14ac:dyDescent="0.4">
      <c r="E707" s="537"/>
      <c r="F707" s="537"/>
    </row>
    <row r="708" spans="5:6" ht="21" customHeight="1" x14ac:dyDescent="0.4">
      <c r="E708" s="537"/>
      <c r="F708" s="537"/>
    </row>
    <row r="709" spans="5:6" ht="21" customHeight="1" x14ac:dyDescent="0.4">
      <c r="E709" s="537"/>
      <c r="F709" s="537"/>
    </row>
    <row r="710" spans="5:6" ht="21" customHeight="1" x14ac:dyDescent="0.4">
      <c r="E710" s="537"/>
      <c r="F710" s="537"/>
    </row>
    <row r="711" spans="5:6" ht="21" customHeight="1" x14ac:dyDescent="0.4">
      <c r="E711" s="537"/>
      <c r="F711" s="537"/>
    </row>
    <row r="712" spans="5:6" ht="21" customHeight="1" x14ac:dyDescent="0.4">
      <c r="E712" s="537"/>
      <c r="F712" s="537"/>
    </row>
    <row r="713" spans="5:6" ht="21" customHeight="1" x14ac:dyDescent="0.4">
      <c r="E713" s="537"/>
      <c r="F713" s="537"/>
    </row>
    <row r="714" spans="5:6" ht="21" customHeight="1" x14ac:dyDescent="0.4">
      <c r="E714" s="537"/>
      <c r="F714" s="537"/>
    </row>
    <row r="715" spans="5:6" ht="21" customHeight="1" x14ac:dyDescent="0.4">
      <c r="E715" s="537"/>
      <c r="F715" s="537"/>
    </row>
    <row r="716" spans="5:6" ht="21" customHeight="1" x14ac:dyDescent="0.4">
      <c r="E716" s="537"/>
      <c r="F716" s="537"/>
    </row>
    <row r="717" spans="5:6" ht="21" customHeight="1" x14ac:dyDescent="0.4">
      <c r="E717" s="537"/>
      <c r="F717" s="537"/>
    </row>
    <row r="718" spans="5:6" ht="21" customHeight="1" x14ac:dyDescent="0.4">
      <c r="E718" s="537"/>
      <c r="F718" s="537"/>
    </row>
    <row r="719" spans="5:6" ht="21" customHeight="1" x14ac:dyDescent="0.4">
      <c r="E719" s="537"/>
      <c r="F719" s="537"/>
    </row>
    <row r="720" spans="5:6" ht="21" customHeight="1" x14ac:dyDescent="0.4">
      <c r="E720" s="537"/>
      <c r="F720" s="537"/>
    </row>
    <row r="721" spans="5:6" ht="21" customHeight="1" x14ac:dyDescent="0.4">
      <c r="E721" s="537"/>
      <c r="F721" s="537"/>
    </row>
    <row r="722" spans="5:6" ht="21" customHeight="1" x14ac:dyDescent="0.4">
      <c r="E722" s="537"/>
      <c r="F722" s="537"/>
    </row>
    <row r="723" spans="5:6" ht="21" customHeight="1" x14ac:dyDescent="0.4">
      <c r="E723" s="537"/>
      <c r="F723" s="537"/>
    </row>
    <row r="724" spans="5:6" ht="21" customHeight="1" x14ac:dyDescent="0.4">
      <c r="E724" s="537"/>
      <c r="F724" s="537"/>
    </row>
    <row r="725" spans="5:6" ht="21" customHeight="1" x14ac:dyDescent="0.4">
      <c r="E725" s="537"/>
      <c r="F725" s="537"/>
    </row>
    <row r="726" spans="5:6" ht="21" customHeight="1" x14ac:dyDescent="0.4">
      <c r="E726" s="537"/>
      <c r="F726" s="537"/>
    </row>
    <row r="727" spans="5:6" ht="21" customHeight="1" x14ac:dyDescent="0.4">
      <c r="E727" s="537"/>
      <c r="F727" s="537"/>
    </row>
    <row r="728" spans="5:6" ht="21" customHeight="1" x14ac:dyDescent="0.4">
      <c r="E728" s="537"/>
      <c r="F728" s="537"/>
    </row>
    <row r="729" spans="5:6" ht="21" customHeight="1" x14ac:dyDescent="0.4">
      <c r="E729" s="537"/>
      <c r="F729" s="537"/>
    </row>
    <row r="730" spans="5:6" ht="21" customHeight="1" x14ac:dyDescent="0.4">
      <c r="E730" s="537"/>
      <c r="F730" s="537"/>
    </row>
    <row r="731" spans="5:6" ht="21" customHeight="1" x14ac:dyDescent="0.4">
      <c r="E731" s="537"/>
      <c r="F731" s="537"/>
    </row>
    <row r="732" spans="5:6" ht="21" customHeight="1" x14ac:dyDescent="0.4">
      <c r="E732" s="537"/>
      <c r="F732" s="537"/>
    </row>
    <row r="733" spans="5:6" ht="21" customHeight="1" x14ac:dyDescent="0.4">
      <c r="E733" s="537"/>
      <c r="F733" s="537"/>
    </row>
    <row r="734" spans="5:6" ht="21" customHeight="1" x14ac:dyDescent="0.4">
      <c r="E734" s="537"/>
      <c r="F734" s="537"/>
    </row>
    <row r="735" spans="5:6" ht="21" customHeight="1" x14ac:dyDescent="0.4">
      <c r="E735" s="537"/>
      <c r="F735" s="537"/>
    </row>
    <row r="736" spans="5:6" ht="21" customHeight="1" x14ac:dyDescent="0.4">
      <c r="E736" s="537"/>
      <c r="F736" s="537"/>
    </row>
    <row r="737" spans="5:6" ht="21" customHeight="1" x14ac:dyDescent="0.4">
      <c r="E737" s="537"/>
      <c r="F737" s="537"/>
    </row>
    <row r="738" spans="5:6" ht="21" customHeight="1" x14ac:dyDescent="0.4">
      <c r="E738" s="537"/>
      <c r="F738" s="537"/>
    </row>
    <row r="739" spans="5:6" ht="21" customHeight="1" x14ac:dyDescent="0.4">
      <c r="E739" s="537"/>
      <c r="F739" s="537"/>
    </row>
    <row r="740" spans="5:6" ht="21" customHeight="1" x14ac:dyDescent="0.4">
      <c r="E740" s="537"/>
      <c r="F740" s="537"/>
    </row>
    <row r="741" spans="5:6" ht="21" customHeight="1" x14ac:dyDescent="0.4">
      <c r="E741" s="537"/>
      <c r="F741" s="537"/>
    </row>
    <row r="742" spans="5:6" ht="21" customHeight="1" x14ac:dyDescent="0.4">
      <c r="E742" s="537"/>
      <c r="F742" s="537"/>
    </row>
    <row r="743" spans="5:6" ht="21" customHeight="1" x14ac:dyDescent="0.4">
      <c r="E743" s="537"/>
      <c r="F743" s="537"/>
    </row>
    <row r="744" spans="5:6" ht="21" customHeight="1" x14ac:dyDescent="0.4">
      <c r="E744" s="537"/>
      <c r="F744" s="537"/>
    </row>
    <row r="745" spans="5:6" ht="21" customHeight="1" x14ac:dyDescent="0.4">
      <c r="E745" s="537"/>
      <c r="F745" s="537"/>
    </row>
    <row r="746" spans="5:6" ht="21" customHeight="1" x14ac:dyDescent="0.4">
      <c r="E746" s="537"/>
      <c r="F746" s="537"/>
    </row>
    <row r="747" spans="5:6" ht="21" customHeight="1" x14ac:dyDescent="0.4">
      <c r="E747" s="537"/>
      <c r="F747" s="537"/>
    </row>
    <row r="748" spans="5:6" ht="21" customHeight="1" x14ac:dyDescent="0.4">
      <c r="E748" s="537"/>
      <c r="F748" s="537"/>
    </row>
    <row r="749" spans="5:6" ht="21" customHeight="1" x14ac:dyDescent="0.4">
      <c r="E749" s="537"/>
      <c r="F749" s="537"/>
    </row>
    <row r="750" spans="5:6" ht="21" customHeight="1" x14ac:dyDescent="0.4">
      <c r="E750" s="537"/>
      <c r="F750" s="537"/>
    </row>
    <row r="751" spans="5:6" ht="21" customHeight="1" x14ac:dyDescent="0.4">
      <c r="E751" s="537"/>
      <c r="F751" s="537"/>
    </row>
    <row r="752" spans="5:6" ht="21" customHeight="1" x14ac:dyDescent="0.4">
      <c r="E752" s="537"/>
      <c r="F752" s="537"/>
    </row>
    <row r="753" spans="5:6" ht="21" customHeight="1" x14ac:dyDescent="0.4">
      <c r="E753" s="537"/>
      <c r="F753" s="537"/>
    </row>
    <row r="754" spans="5:6" ht="21" customHeight="1" x14ac:dyDescent="0.4">
      <c r="E754" s="537"/>
      <c r="F754" s="537"/>
    </row>
    <row r="755" spans="5:6" ht="21" customHeight="1" x14ac:dyDescent="0.4">
      <c r="E755" s="537"/>
      <c r="F755" s="537"/>
    </row>
    <row r="756" spans="5:6" ht="21" customHeight="1" x14ac:dyDescent="0.4">
      <c r="E756" s="537"/>
      <c r="F756" s="537"/>
    </row>
    <row r="757" spans="5:6" ht="21" customHeight="1" x14ac:dyDescent="0.4">
      <c r="E757" s="537"/>
      <c r="F757" s="537"/>
    </row>
    <row r="758" spans="5:6" ht="21" customHeight="1" x14ac:dyDescent="0.4">
      <c r="E758" s="537"/>
      <c r="F758" s="537"/>
    </row>
    <row r="759" spans="5:6" ht="21" customHeight="1" x14ac:dyDescent="0.4">
      <c r="E759" s="537"/>
      <c r="F759" s="537"/>
    </row>
    <row r="760" spans="5:6" ht="21" customHeight="1" x14ac:dyDescent="0.4">
      <c r="E760" s="537"/>
      <c r="F760" s="537"/>
    </row>
    <row r="761" spans="5:6" ht="21" customHeight="1" x14ac:dyDescent="0.4">
      <c r="E761" s="537"/>
      <c r="F761" s="537"/>
    </row>
    <row r="762" spans="5:6" ht="21" customHeight="1" x14ac:dyDescent="0.4">
      <c r="E762" s="537"/>
      <c r="F762" s="537"/>
    </row>
    <row r="763" spans="5:6" ht="21" customHeight="1" x14ac:dyDescent="0.4">
      <c r="E763" s="537"/>
      <c r="F763" s="537"/>
    </row>
    <row r="764" spans="5:6" ht="21" customHeight="1" x14ac:dyDescent="0.4">
      <c r="E764" s="537"/>
      <c r="F764" s="537"/>
    </row>
    <row r="765" spans="5:6" ht="21" customHeight="1" x14ac:dyDescent="0.4">
      <c r="E765" s="537"/>
      <c r="F765" s="537"/>
    </row>
    <row r="766" spans="5:6" ht="21" customHeight="1" x14ac:dyDescent="0.4">
      <c r="E766" s="537"/>
      <c r="F766" s="537"/>
    </row>
    <row r="767" spans="5:6" ht="21" customHeight="1" x14ac:dyDescent="0.4">
      <c r="E767" s="537"/>
      <c r="F767" s="537"/>
    </row>
    <row r="768" spans="5:6" ht="21" customHeight="1" x14ac:dyDescent="0.4">
      <c r="E768" s="537"/>
      <c r="F768" s="537"/>
    </row>
    <row r="769" spans="5:6" ht="21" customHeight="1" x14ac:dyDescent="0.4">
      <c r="E769" s="537"/>
      <c r="F769" s="537"/>
    </row>
    <row r="770" spans="5:6" ht="21" customHeight="1" x14ac:dyDescent="0.4">
      <c r="E770" s="537"/>
      <c r="F770" s="537"/>
    </row>
    <row r="771" spans="5:6" ht="21" customHeight="1" x14ac:dyDescent="0.4">
      <c r="E771" s="537"/>
      <c r="F771" s="537"/>
    </row>
    <row r="772" spans="5:6" ht="21" customHeight="1" x14ac:dyDescent="0.4">
      <c r="E772" s="537"/>
      <c r="F772" s="537"/>
    </row>
    <row r="773" spans="5:6" ht="21" customHeight="1" x14ac:dyDescent="0.4">
      <c r="E773" s="537"/>
      <c r="F773" s="537"/>
    </row>
    <row r="774" spans="5:6" ht="21" customHeight="1" x14ac:dyDescent="0.4">
      <c r="E774" s="537"/>
      <c r="F774" s="537"/>
    </row>
    <row r="775" spans="5:6" ht="21" customHeight="1" x14ac:dyDescent="0.4">
      <c r="E775" s="537"/>
      <c r="F775" s="537"/>
    </row>
    <row r="776" spans="5:6" ht="21" customHeight="1" x14ac:dyDescent="0.4">
      <c r="E776" s="537"/>
      <c r="F776" s="537"/>
    </row>
    <row r="777" spans="5:6" ht="21" customHeight="1" x14ac:dyDescent="0.4">
      <c r="E777" s="537"/>
      <c r="F777" s="537"/>
    </row>
    <row r="778" spans="5:6" ht="21" customHeight="1" x14ac:dyDescent="0.4">
      <c r="E778" s="537"/>
      <c r="F778" s="537"/>
    </row>
    <row r="779" spans="5:6" ht="21" customHeight="1" x14ac:dyDescent="0.4">
      <c r="E779" s="537"/>
      <c r="F779" s="537"/>
    </row>
    <row r="780" spans="5:6" ht="21" customHeight="1" x14ac:dyDescent="0.4">
      <c r="E780" s="537"/>
      <c r="F780" s="537"/>
    </row>
    <row r="781" spans="5:6" ht="21" customHeight="1" x14ac:dyDescent="0.4">
      <c r="E781" s="537"/>
      <c r="F781" s="537"/>
    </row>
    <row r="782" spans="5:6" ht="21" customHeight="1" x14ac:dyDescent="0.4">
      <c r="E782" s="537"/>
      <c r="F782" s="537"/>
    </row>
    <row r="783" spans="5:6" ht="21" customHeight="1" x14ac:dyDescent="0.4">
      <c r="E783" s="537"/>
      <c r="F783" s="537"/>
    </row>
    <row r="784" spans="5:6" ht="21" customHeight="1" x14ac:dyDescent="0.4">
      <c r="E784" s="537"/>
      <c r="F784" s="537"/>
    </row>
    <row r="785" spans="5:6" ht="21" customHeight="1" x14ac:dyDescent="0.4">
      <c r="E785" s="537"/>
      <c r="F785" s="537"/>
    </row>
    <row r="786" spans="5:6" ht="21" customHeight="1" x14ac:dyDescent="0.4">
      <c r="E786" s="537"/>
      <c r="F786" s="537"/>
    </row>
    <row r="787" spans="5:6" ht="21" customHeight="1" x14ac:dyDescent="0.4">
      <c r="E787" s="537"/>
      <c r="F787" s="537"/>
    </row>
    <row r="788" spans="5:6" ht="21" customHeight="1" x14ac:dyDescent="0.4">
      <c r="E788" s="537"/>
      <c r="F788" s="537"/>
    </row>
    <row r="789" spans="5:6" ht="21" customHeight="1" x14ac:dyDescent="0.4">
      <c r="E789" s="537"/>
      <c r="F789" s="537"/>
    </row>
    <row r="790" spans="5:6" ht="21" customHeight="1" x14ac:dyDescent="0.4">
      <c r="E790" s="537"/>
      <c r="F790" s="537"/>
    </row>
    <row r="791" spans="5:6" ht="21" customHeight="1" x14ac:dyDescent="0.4">
      <c r="E791" s="537"/>
      <c r="F791" s="537"/>
    </row>
    <row r="792" spans="5:6" ht="21" customHeight="1" x14ac:dyDescent="0.4">
      <c r="E792" s="537"/>
      <c r="F792" s="537"/>
    </row>
    <row r="793" spans="5:6" ht="21" customHeight="1" x14ac:dyDescent="0.4">
      <c r="E793" s="537"/>
      <c r="F793" s="537"/>
    </row>
    <row r="794" spans="5:6" ht="21" customHeight="1" x14ac:dyDescent="0.4">
      <c r="E794" s="537"/>
      <c r="F794" s="537"/>
    </row>
    <row r="795" spans="5:6" ht="21" customHeight="1" x14ac:dyDescent="0.4">
      <c r="E795" s="537"/>
      <c r="F795" s="537"/>
    </row>
    <row r="796" spans="5:6" ht="21" customHeight="1" x14ac:dyDescent="0.4">
      <c r="E796" s="537"/>
      <c r="F796" s="537"/>
    </row>
    <row r="797" spans="5:6" ht="21" customHeight="1" x14ac:dyDescent="0.4">
      <c r="E797" s="537"/>
      <c r="F797" s="537"/>
    </row>
    <row r="798" spans="5:6" ht="21" customHeight="1" x14ac:dyDescent="0.4">
      <c r="E798" s="537"/>
      <c r="F798" s="537"/>
    </row>
    <row r="799" spans="5:6" ht="21" customHeight="1" x14ac:dyDescent="0.4">
      <c r="E799" s="537"/>
      <c r="F799" s="537"/>
    </row>
    <row r="800" spans="5:6" ht="21" customHeight="1" x14ac:dyDescent="0.4">
      <c r="E800" s="537"/>
      <c r="F800" s="537"/>
    </row>
    <row r="801" spans="5:6" ht="21" customHeight="1" x14ac:dyDescent="0.4">
      <c r="E801" s="537"/>
      <c r="F801" s="537"/>
    </row>
    <row r="802" spans="5:6" ht="21" customHeight="1" x14ac:dyDescent="0.4">
      <c r="E802" s="537"/>
      <c r="F802" s="537"/>
    </row>
    <row r="803" spans="5:6" ht="21" customHeight="1" x14ac:dyDescent="0.4">
      <c r="E803" s="537"/>
      <c r="F803" s="537"/>
    </row>
    <row r="804" spans="5:6" ht="21" customHeight="1" x14ac:dyDescent="0.4">
      <c r="E804" s="537"/>
      <c r="F804" s="537"/>
    </row>
    <row r="805" spans="5:6" ht="21" customHeight="1" x14ac:dyDescent="0.4">
      <c r="E805" s="537"/>
      <c r="F805" s="537"/>
    </row>
    <row r="806" spans="5:6" ht="21" customHeight="1" x14ac:dyDescent="0.4">
      <c r="E806" s="537"/>
      <c r="F806" s="537"/>
    </row>
    <row r="807" spans="5:6" ht="21" customHeight="1" x14ac:dyDescent="0.4">
      <c r="E807" s="537"/>
      <c r="F807" s="537"/>
    </row>
    <row r="808" spans="5:6" ht="21" customHeight="1" x14ac:dyDescent="0.4">
      <c r="E808" s="537"/>
      <c r="F808" s="537"/>
    </row>
    <row r="809" spans="5:6" ht="21" customHeight="1" x14ac:dyDescent="0.4">
      <c r="E809" s="537"/>
      <c r="F809" s="537"/>
    </row>
    <row r="810" spans="5:6" ht="21" customHeight="1" x14ac:dyDescent="0.4">
      <c r="E810" s="537"/>
      <c r="F810" s="537"/>
    </row>
    <row r="811" spans="5:6" ht="21" customHeight="1" x14ac:dyDescent="0.4">
      <c r="E811" s="537"/>
      <c r="F811" s="537"/>
    </row>
    <row r="812" spans="5:6" ht="21" customHeight="1" x14ac:dyDescent="0.4">
      <c r="E812" s="537"/>
      <c r="F812" s="537"/>
    </row>
    <row r="813" spans="5:6" ht="21" customHeight="1" x14ac:dyDescent="0.4">
      <c r="E813" s="537"/>
      <c r="F813" s="537"/>
    </row>
    <row r="814" spans="5:6" ht="21" customHeight="1" x14ac:dyDescent="0.4">
      <c r="E814" s="537"/>
      <c r="F814" s="537"/>
    </row>
    <row r="815" spans="5:6" ht="21" customHeight="1" x14ac:dyDescent="0.4">
      <c r="E815" s="537"/>
      <c r="F815" s="537"/>
    </row>
    <row r="816" spans="5:6" ht="21" customHeight="1" x14ac:dyDescent="0.4">
      <c r="E816" s="537"/>
      <c r="F816" s="537"/>
    </row>
    <row r="817" spans="5:6" ht="21" customHeight="1" x14ac:dyDescent="0.4">
      <c r="E817" s="537"/>
      <c r="F817" s="537"/>
    </row>
    <row r="818" spans="5:6" ht="21" customHeight="1" x14ac:dyDescent="0.4">
      <c r="E818" s="537"/>
      <c r="F818" s="537"/>
    </row>
    <row r="819" spans="5:6" ht="21" customHeight="1" x14ac:dyDescent="0.4">
      <c r="E819" s="537"/>
      <c r="F819" s="537"/>
    </row>
    <row r="820" spans="5:6" ht="21" customHeight="1" x14ac:dyDescent="0.4">
      <c r="E820" s="537"/>
      <c r="F820" s="537"/>
    </row>
    <row r="821" spans="5:6" ht="21" customHeight="1" x14ac:dyDescent="0.4">
      <c r="E821" s="537"/>
      <c r="F821" s="537"/>
    </row>
    <row r="822" spans="5:6" ht="21" customHeight="1" x14ac:dyDescent="0.4">
      <c r="E822" s="537"/>
      <c r="F822" s="537"/>
    </row>
    <row r="823" spans="5:6" ht="21" customHeight="1" x14ac:dyDescent="0.4">
      <c r="E823" s="537"/>
      <c r="F823" s="537"/>
    </row>
    <row r="824" spans="5:6" ht="21" customHeight="1" x14ac:dyDescent="0.4">
      <c r="E824" s="537"/>
      <c r="F824" s="537"/>
    </row>
    <row r="825" spans="5:6" ht="21" customHeight="1" x14ac:dyDescent="0.4">
      <c r="E825" s="537"/>
      <c r="F825" s="537"/>
    </row>
    <row r="826" spans="5:6" ht="21" customHeight="1" x14ac:dyDescent="0.4">
      <c r="E826" s="537"/>
      <c r="F826" s="537"/>
    </row>
    <row r="827" spans="5:6" ht="21" customHeight="1" x14ac:dyDescent="0.4">
      <c r="E827" s="537"/>
      <c r="F827" s="537"/>
    </row>
    <row r="828" spans="5:6" ht="21" customHeight="1" x14ac:dyDescent="0.4">
      <c r="E828" s="537"/>
      <c r="F828" s="537"/>
    </row>
    <row r="829" spans="5:6" ht="21" customHeight="1" x14ac:dyDescent="0.4">
      <c r="E829" s="537"/>
      <c r="F829" s="537"/>
    </row>
    <row r="830" spans="5:6" ht="21" customHeight="1" x14ac:dyDescent="0.4">
      <c r="E830" s="537"/>
      <c r="F830" s="537"/>
    </row>
    <row r="831" spans="5:6" ht="21" customHeight="1" x14ac:dyDescent="0.4">
      <c r="E831" s="537"/>
      <c r="F831" s="537"/>
    </row>
    <row r="832" spans="5:6" ht="21" customHeight="1" x14ac:dyDescent="0.4">
      <c r="E832" s="537"/>
      <c r="F832" s="537"/>
    </row>
    <row r="833" spans="5:6" ht="21" customHeight="1" x14ac:dyDescent="0.4">
      <c r="E833" s="537"/>
      <c r="F833" s="537"/>
    </row>
    <row r="834" spans="5:6" ht="21" customHeight="1" x14ac:dyDescent="0.4">
      <c r="E834" s="537"/>
      <c r="F834" s="537"/>
    </row>
    <row r="835" spans="5:6" ht="21" customHeight="1" x14ac:dyDescent="0.4">
      <c r="E835" s="537"/>
      <c r="F835" s="537"/>
    </row>
    <row r="836" spans="5:6" ht="21" customHeight="1" x14ac:dyDescent="0.4">
      <c r="E836" s="537"/>
      <c r="F836" s="537"/>
    </row>
    <row r="837" spans="5:6" ht="21" customHeight="1" x14ac:dyDescent="0.4">
      <c r="E837" s="537"/>
      <c r="F837" s="537"/>
    </row>
    <row r="838" spans="5:6" ht="21" customHeight="1" x14ac:dyDescent="0.4">
      <c r="E838" s="537"/>
      <c r="F838" s="537"/>
    </row>
    <row r="839" spans="5:6" ht="21" customHeight="1" x14ac:dyDescent="0.4">
      <c r="E839" s="537"/>
      <c r="F839" s="537"/>
    </row>
    <row r="840" spans="5:6" ht="21" customHeight="1" x14ac:dyDescent="0.4">
      <c r="E840" s="537"/>
      <c r="F840" s="537"/>
    </row>
    <row r="841" spans="5:6" ht="21" customHeight="1" x14ac:dyDescent="0.4">
      <c r="E841" s="537"/>
      <c r="F841" s="537"/>
    </row>
    <row r="842" spans="5:6" ht="21" customHeight="1" x14ac:dyDescent="0.4">
      <c r="E842" s="537"/>
      <c r="F842" s="537"/>
    </row>
    <row r="843" spans="5:6" ht="21" customHeight="1" x14ac:dyDescent="0.4">
      <c r="E843" s="537"/>
      <c r="F843" s="537"/>
    </row>
    <row r="844" spans="5:6" ht="21" customHeight="1" x14ac:dyDescent="0.4">
      <c r="E844" s="537"/>
      <c r="F844" s="537"/>
    </row>
    <row r="845" spans="5:6" ht="21" customHeight="1" x14ac:dyDescent="0.4">
      <c r="E845" s="537"/>
      <c r="F845" s="537"/>
    </row>
    <row r="846" spans="5:6" ht="21" customHeight="1" x14ac:dyDescent="0.4">
      <c r="E846" s="537"/>
      <c r="F846" s="537"/>
    </row>
    <row r="847" spans="5:6" ht="21" customHeight="1" x14ac:dyDescent="0.4">
      <c r="E847" s="537"/>
      <c r="F847" s="537"/>
    </row>
    <row r="848" spans="5:6" ht="21" customHeight="1" x14ac:dyDescent="0.4">
      <c r="E848" s="537"/>
      <c r="F848" s="537"/>
    </row>
    <row r="849" spans="5:6" ht="21" customHeight="1" x14ac:dyDescent="0.4">
      <c r="E849" s="537"/>
      <c r="F849" s="537"/>
    </row>
    <row r="850" spans="5:6" ht="21" customHeight="1" x14ac:dyDescent="0.4">
      <c r="E850" s="537"/>
      <c r="F850" s="537"/>
    </row>
    <row r="851" spans="5:6" ht="21" customHeight="1" x14ac:dyDescent="0.4">
      <c r="E851" s="537"/>
      <c r="F851" s="537"/>
    </row>
    <row r="852" spans="5:6" ht="21" customHeight="1" x14ac:dyDescent="0.4">
      <c r="E852" s="537"/>
      <c r="F852" s="537"/>
    </row>
    <row r="853" spans="5:6" ht="21" customHeight="1" x14ac:dyDescent="0.4">
      <c r="E853" s="537"/>
      <c r="F853" s="537"/>
    </row>
    <row r="854" spans="5:6" ht="21" customHeight="1" x14ac:dyDescent="0.4">
      <c r="E854" s="537"/>
      <c r="F854" s="537"/>
    </row>
    <row r="855" spans="5:6" ht="21" customHeight="1" x14ac:dyDescent="0.4">
      <c r="E855" s="537"/>
      <c r="F855" s="537"/>
    </row>
    <row r="856" spans="5:6" ht="21" customHeight="1" x14ac:dyDescent="0.4">
      <c r="E856" s="537"/>
      <c r="F856" s="537"/>
    </row>
    <row r="857" spans="5:6" ht="21" customHeight="1" x14ac:dyDescent="0.4">
      <c r="E857" s="537"/>
      <c r="F857" s="537"/>
    </row>
    <row r="858" spans="5:6" ht="21" customHeight="1" x14ac:dyDescent="0.4">
      <c r="E858" s="537"/>
      <c r="F858" s="537"/>
    </row>
    <row r="859" spans="5:6" ht="21" customHeight="1" x14ac:dyDescent="0.4">
      <c r="E859" s="537"/>
      <c r="F859" s="537"/>
    </row>
    <row r="860" spans="5:6" ht="21" customHeight="1" x14ac:dyDescent="0.4">
      <c r="E860" s="537"/>
      <c r="F860" s="537"/>
    </row>
    <row r="861" spans="5:6" ht="21" customHeight="1" x14ac:dyDescent="0.4">
      <c r="E861" s="537"/>
      <c r="F861" s="537"/>
    </row>
    <row r="862" spans="5:6" ht="21" customHeight="1" x14ac:dyDescent="0.4">
      <c r="E862" s="537"/>
      <c r="F862" s="537"/>
    </row>
    <row r="863" spans="5:6" ht="21" customHeight="1" x14ac:dyDescent="0.4">
      <c r="E863" s="537"/>
      <c r="F863" s="537"/>
    </row>
    <row r="864" spans="5:6" ht="21" customHeight="1" x14ac:dyDescent="0.4">
      <c r="E864" s="537"/>
      <c r="F864" s="537"/>
    </row>
    <row r="865" spans="5:6" ht="21" customHeight="1" x14ac:dyDescent="0.4">
      <c r="E865" s="537"/>
      <c r="F865" s="537"/>
    </row>
    <row r="866" spans="5:6" ht="21" customHeight="1" x14ac:dyDescent="0.4">
      <c r="E866" s="537"/>
      <c r="F866" s="537"/>
    </row>
    <row r="867" spans="5:6" ht="21" customHeight="1" x14ac:dyDescent="0.4">
      <c r="E867" s="537"/>
      <c r="F867" s="537"/>
    </row>
    <row r="868" spans="5:6" ht="21" customHeight="1" x14ac:dyDescent="0.4">
      <c r="E868" s="537"/>
      <c r="F868" s="537"/>
    </row>
    <row r="869" spans="5:6" ht="21" customHeight="1" x14ac:dyDescent="0.4">
      <c r="E869" s="537"/>
      <c r="F869" s="537"/>
    </row>
    <row r="870" spans="5:6" ht="21" customHeight="1" x14ac:dyDescent="0.4">
      <c r="E870" s="537"/>
      <c r="F870" s="537"/>
    </row>
    <row r="871" spans="5:6" ht="21" customHeight="1" x14ac:dyDescent="0.4">
      <c r="E871" s="537"/>
      <c r="F871" s="537"/>
    </row>
    <row r="872" spans="5:6" ht="21" customHeight="1" x14ac:dyDescent="0.4">
      <c r="E872" s="537"/>
      <c r="F872" s="537"/>
    </row>
    <row r="873" spans="5:6" ht="21" customHeight="1" x14ac:dyDescent="0.4">
      <c r="E873" s="537"/>
      <c r="F873" s="537"/>
    </row>
    <row r="874" spans="5:6" ht="21" customHeight="1" x14ac:dyDescent="0.4">
      <c r="E874" s="537"/>
      <c r="F874" s="537"/>
    </row>
    <row r="875" spans="5:6" ht="21" customHeight="1" x14ac:dyDescent="0.4">
      <c r="E875" s="537"/>
      <c r="F875" s="537"/>
    </row>
    <row r="876" spans="5:6" ht="21" customHeight="1" x14ac:dyDescent="0.4">
      <c r="E876" s="537"/>
      <c r="F876" s="537"/>
    </row>
    <row r="877" spans="5:6" ht="21" customHeight="1" x14ac:dyDescent="0.4">
      <c r="E877" s="537"/>
      <c r="F877" s="537"/>
    </row>
    <row r="878" spans="5:6" ht="21" customHeight="1" x14ac:dyDescent="0.4">
      <c r="E878" s="537"/>
      <c r="F878" s="537"/>
    </row>
    <row r="879" spans="5:6" ht="21" customHeight="1" x14ac:dyDescent="0.4">
      <c r="E879" s="537"/>
      <c r="F879" s="537"/>
    </row>
    <row r="880" spans="5:6" ht="21" customHeight="1" x14ac:dyDescent="0.4">
      <c r="E880" s="537"/>
      <c r="F880" s="537"/>
    </row>
    <row r="881" spans="5:6" ht="21" customHeight="1" x14ac:dyDescent="0.4">
      <c r="E881" s="537"/>
      <c r="F881" s="537"/>
    </row>
    <row r="882" spans="5:6" ht="21" customHeight="1" x14ac:dyDescent="0.4">
      <c r="E882" s="537"/>
      <c r="F882" s="537"/>
    </row>
    <row r="883" spans="5:6" ht="21" customHeight="1" x14ac:dyDescent="0.4">
      <c r="E883" s="537"/>
      <c r="F883" s="537"/>
    </row>
    <row r="884" spans="5:6" ht="21" customHeight="1" x14ac:dyDescent="0.4">
      <c r="E884" s="537"/>
      <c r="F884" s="537"/>
    </row>
    <row r="885" spans="5:6" ht="21" customHeight="1" x14ac:dyDescent="0.4">
      <c r="E885" s="537"/>
      <c r="F885" s="537"/>
    </row>
    <row r="886" spans="5:6" ht="21" customHeight="1" x14ac:dyDescent="0.4">
      <c r="E886" s="537"/>
      <c r="F886" s="537"/>
    </row>
    <row r="887" spans="5:6" ht="21" customHeight="1" x14ac:dyDescent="0.4">
      <c r="E887" s="537"/>
      <c r="F887" s="537"/>
    </row>
    <row r="888" spans="5:6" ht="21" customHeight="1" x14ac:dyDescent="0.4">
      <c r="E888" s="537"/>
      <c r="F888" s="537"/>
    </row>
    <row r="889" spans="5:6" ht="21" customHeight="1" x14ac:dyDescent="0.4">
      <c r="E889" s="537"/>
      <c r="F889" s="537"/>
    </row>
    <row r="890" spans="5:6" ht="21" customHeight="1" x14ac:dyDescent="0.4">
      <c r="E890" s="537"/>
      <c r="F890" s="537"/>
    </row>
    <row r="891" spans="5:6" ht="21" customHeight="1" x14ac:dyDescent="0.4">
      <c r="E891" s="537"/>
      <c r="F891" s="537"/>
    </row>
    <row r="892" spans="5:6" ht="21" customHeight="1" x14ac:dyDescent="0.4">
      <c r="E892" s="537"/>
      <c r="F892" s="537"/>
    </row>
    <row r="893" spans="5:6" ht="21" customHeight="1" x14ac:dyDescent="0.4">
      <c r="E893" s="537"/>
      <c r="F893" s="537"/>
    </row>
    <row r="894" spans="5:6" ht="21" customHeight="1" x14ac:dyDescent="0.4">
      <c r="E894" s="537"/>
      <c r="F894" s="537"/>
    </row>
    <row r="895" spans="5:6" ht="21" customHeight="1" x14ac:dyDescent="0.4">
      <c r="E895" s="537"/>
      <c r="F895" s="537"/>
    </row>
    <row r="896" spans="5:6" ht="21" customHeight="1" x14ac:dyDescent="0.4">
      <c r="E896" s="537"/>
      <c r="F896" s="537"/>
    </row>
    <row r="897" spans="5:6" ht="21" customHeight="1" x14ac:dyDescent="0.4">
      <c r="E897" s="537"/>
      <c r="F897" s="537"/>
    </row>
    <row r="898" spans="5:6" ht="21" customHeight="1" x14ac:dyDescent="0.4">
      <c r="E898" s="537"/>
      <c r="F898" s="537"/>
    </row>
    <row r="899" spans="5:6" ht="21" customHeight="1" x14ac:dyDescent="0.4">
      <c r="E899" s="537"/>
      <c r="F899" s="537"/>
    </row>
    <row r="900" spans="5:6" ht="21" customHeight="1" x14ac:dyDescent="0.4">
      <c r="E900" s="537"/>
      <c r="F900" s="537"/>
    </row>
    <row r="901" spans="5:6" ht="21" customHeight="1" x14ac:dyDescent="0.4">
      <c r="E901" s="537"/>
      <c r="F901" s="537"/>
    </row>
    <row r="902" spans="5:6" ht="21" customHeight="1" x14ac:dyDescent="0.4">
      <c r="E902" s="537"/>
      <c r="F902" s="537"/>
    </row>
    <row r="903" spans="5:6" ht="21" customHeight="1" x14ac:dyDescent="0.4">
      <c r="E903" s="537"/>
      <c r="F903" s="537"/>
    </row>
    <row r="904" spans="5:6" ht="21" customHeight="1" x14ac:dyDescent="0.4">
      <c r="E904" s="537"/>
      <c r="F904" s="537"/>
    </row>
    <row r="905" spans="5:6" ht="21" customHeight="1" x14ac:dyDescent="0.4">
      <c r="E905" s="537"/>
      <c r="F905" s="537"/>
    </row>
    <row r="906" spans="5:6" ht="21" customHeight="1" x14ac:dyDescent="0.4">
      <c r="E906" s="537"/>
      <c r="F906" s="537"/>
    </row>
    <row r="907" spans="5:6" ht="21" customHeight="1" x14ac:dyDescent="0.4">
      <c r="E907" s="537"/>
      <c r="F907" s="537"/>
    </row>
    <row r="908" spans="5:6" ht="21" customHeight="1" x14ac:dyDescent="0.4">
      <c r="E908" s="537"/>
      <c r="F908" s="537"/>
    </row>
    <row r="909" spans="5:6" ht="21" customHeight="1" x14ac:dyDescent="0.4">
      <c r="E909" s="537"/>
      <c r="F909" s="537"/>
    </row>
    <row r="910" spans="5:6" ht="21" customHeight="1" x14ac:dyDescent="0.4">
      <c r="E910" s="537"/>
      <c r="F910" s="537"/>
    </row>
    <row r="911" spans="5:6" ht="21" customHeight="1" x14ac:dyDescent="0.4">
      <c r="E911" s="537"/>
      <c r="F911" s="537"/>
    </row>
    <row r="912" spans="5:6" ht="21" customHeight="1" x14ac:dyDescent="0.4">
      <c r="E912" s="537"/>
      <c r="F912" s="537"/>
    </row>
    <row r="913" spans="5:6" ht="21" customHeight="1" x14ac:dyDescent="0.4">
      <c r="E913" s="537"/>
      <c r="F913" s="537"/>
    </row>
    <row r="914" spans="5:6" ht="21" customHeight="1" x14ac:dyDescent="0.4">
      <c r="E914" s="537"/>
      <c r="F914" s="537"/>
    </row>
    <row r="915" spans="5:6" ht="21" customHeight="1" x14ac:dyDescent="0.4">
      <c r="E915" s="537"/>
      <c r="F915" s="537"/>
    </row>
    <row r="916" spans="5:6" ht="21" customHeight="1" x14ac:dyDescent="0.4">
      <c r="E916" s="537"/>
      <c r="F916" s="537"/>
    </row>
    <row r="917" spans="5:6" ht="21" customHeight="1" x14ac:dyDescent="0.4">
      <c r="E917" s="537"/>
      <c r="F917" s="537"/>
    </row>
    <row r="918" spans="5:6" ht="21" customHeight="1" x14ac:dyDescent="0.4">
      <c r="E918" s="537"/>
      <c r="F918" s="537"/>
    </row>
    <row r="919" spans="5:6" ht="21" customHeight="1" x14ac:dyDescent="0.4">
      <c r="E919" s="537"/>
      <c r="F919" s="537"/>
    </row>
    <row r="920" spans="5:6" ht="21" customHeight="1" x14ac:dyDescent="0.4">
      <c r="E920" s="537"/>
      <c r="F920" s="537"/>
    </row>
    <row r="921" spans="5:6" ht="21" customHeight="1" x14ac:dyDescent="0.4">
      <c r="E921" s="537"/>
      <c r="F921" s="537"/>
    </row>
    <row r="922" spans="5:6" ht="21" customHeight="1" x14ac:dyDescent="0.4">
      <c r="E922" s="537"/>
      <c r="F922" s="537"/>
    </row>
    <row r="923" spans="5:6" ht="21" customHeight="1" x14ac:dyDescent="0.4">
      <c r="E923" s="537"/>
      <c r="F923" s="537"/>
    </row>
    <row r="924" spans="5:6" ht="21" customHeight="1" x14ac:dyDescent="0.4">
      <c r="E924" s="537"/>
      <c r="F924" s="537"/>
    </row>
    <row r="925" spans="5:6" ht="21" customHeight="1" x14ac:dyDescent="0.4">
      <c r="E925" s="537"/>
      <c r="F925" s="537"/>
    </row>
    <row r="926" spans="5:6" ht="21" customHeight="1" x14ac:dyDescent="0.4">
      <c r="E926" s="537"/>
      <c r="F926" s="537"/>
    </row>
    <row r="927" spans="5:6" ht="21" customHeight="1" x14ac:dyDescent="0.4">
      <c r="E927" s="537"/>
      <c r="F927" s="537"/>
    </row>
    <row r="928" spans="5:6" ht="21" customHeight="1" x14ac:dyDescent="0.4">
      <c r="E928" s="537"/>
      <c r="F928" s="537"/>
    </row>
    <row r="929" spans="5:6" ht="21" customHeight="1" x14ac:dyDescent="0.4">
      <c r="E929" s="537"/>
      <c r="F929" s="537"/>
    </row>
    <row r="930" spans="5:6" ht="21" customHeight="1" x14ac:dyDescent="0.4">
      <c r="E930" s="537"/>
      <c r="F930" s="537"/>
    </row>
    <row r="931" spans="5:6" ht="21" customHeight="1" x14ac:dyDescent="0.4">
      <c r="E931" s="537"/>
      <c r="F931" s="537"/>
    </row>
    <row r="932" spans="5:6" ht="21" customHeight="1" x14ac:dyDescent="0.4">
      <c r="E932" s="537"/>
      <c r="F932" s="537"/>
    </row>
    <row r="933" spans="5:6" ht="21" customHeight="1" x14ac:dyDescent="0.4">
      <c r="E933" s="537"/>
      <c r="F933" s="537"/>
    </row>
    <row r="934" spans="5:6" ht="21" customHeight="1" x14ac:dyDescent="0.4">
      <c r="E934" s="537"/>
      <c r="F934" s="537"/>
    </row>
    <row r="935" spans="5:6" ht="21" customHeight="1" x14ac:dyDescent="0.4">
      <c r="E935" s="537"/>
      <c r="F935" s="537"/>
    </row>
    <row r="936" spans="5:6" ht="21" customHeight="1" x14ac:dyDescent="0.4">
      <c r="E936" s="537"/>
      <c r="F936" s="537"/>
    </row>
    <row r="937" spans="5:6" ht="21" customHeight="1" x14ac:dyDescent="0.4">
      <c r="E937" s="537"/>
      <c r="F937" s="537"/>
    </row>
    <row r="938" spans="5:6" ht="21" customHeight="1" x14ac:dyDescent="0.4">
      <c r="E938" s="537"/>
      <c r="F938" s="537"/>
    </row>
    <row r="939" spans="5:6" ht="21" customHeight="1" x14ac:dyDescent="0.4">
      <c r="E939" s="537"/>
      <c r="F939" s="537"/>
    </row>
    <row r="940" spans="5:6" ht="21" customHeight="1" x14ac:dyDescent="0.4">
      <c r="E940" s="537"/>
      <c r="F940" s="537"/>
    </row>
    <row r="941" spans="5:6" ht="21" customHeight="1" x14ac:dyDescent="0.4">
      <c r="E941" s="537"/>
      <c r="F941" s="537"/>
    </row>
    <row r="942" spans="5:6" ht="21" customHeight="1" x14ac:dyDescent="0.4">
      <c r="E942" s="537"/>
      <c r="F942" s="537"/>
    </row>
    <row r="943" spans="5:6" ht="21" customHeight="1" x14ac:dyDescent="0.4">
      <c r="E943" s="537"/>
      <c r="F943" s="537"/>
    </row>
    <row r="944" spans="5:6" ht="21" customHeight="1" x14ac:dyDescent="0.4">
      <c r="E944" s="537"/>
      <c r="F944" s="537"/>
    </row>
    <row r="945" spans="5:6" ht="21" customHeight="1" x14ac:dyDescent="0.4">
      <c r="E945" s="537"/>
      <c r="F945" s="537"/>
    </row>
    <row r="946" spans="5:6" ht="21" customHeight="1" x14ac:dyDescent="0.4">
      <c r="E946" s="537"/>
      <c r="F946" s="537"/>
    </row>
    <row r="947" spans="5:6" ht="21" customHeight="1" x14ac:dyDescent="0.4">
      <c r="E947" s="537"/>
      <c r="F947" s="537"/>
    </row>
    <row r="948" spans="5:6" ht="21" customHeight="1" x14ac:dyDescent="0.4">
      <c r="E948" s="537"/>
      <c r="F948" s="537"/>
    </row>
    <row r="949" spans="5:6" ht="21" customHeight="1" x14ac:dyDescent="0.4">
      <c r="E949" s="537"/>
      <c r="F949" s="537"/>
    </row>
    <row r="950" spans="5:6" ht="21" customHeight="1" x14ac:dyDescent="0.4">
      <c r="E950" s="537"/>
      <c r="F950" s="537"/>
    </row>
    <row r="951" spans="5:6" ht="21" customHeight="1" x14ac:dyDescent="0.4">
      <c r="E951" s="537"/>
      <c r="F951" s="537"/>
    </row>
    <row r="952" spans="5:6" ht="21" customHeight="1" x14ac:dyDescent="0.4">
      <c r="E952" s="537"/>
      <c r="F952" s="537"/>
    </row>
    <row r="953" spans="5:6" ht="21" customHeight="1" x14ac:dyDescent="0.4">
      <c r="E953" s="537"/>
      <c r="F953" s="537"/>
    </row>
    <row r="954" spans="5:6" ht="21" customHeight="1" x14ac:dyDescent="0.4">
      <c r="E954" s="537"/>
      <c r="F954" s="537"/>
    </row>
    <row r="955" spans="5:6" ht="21" customHeight="1" x14ac:dyDescent="0.4">
      <c r="E955" s="537"/>
      <c r="F955" s="537"/>
    </row>
    <row r="956" spans="5:6" ht="21" customHeight="1" x14ac:dyDescent="0.4">
      <c r="E956" s="537"/>
      <c r="F956" s="537"/>
    </row>
    <row r="957" spans="5:6" ht="21" customHeight="1" x14ac:dyDescent="0.4">
      <c r="E957" s="537"/>
      <c r="F957" s="537"/>
    </row>
    <row r="958" spans="5:6" ht="21" customHeight="1" x14ac:dyDescent="0.4">
      <c r="E958" s="537"/>
      <c r="F958" s="537"/>
    </row>
    <row r="959" spans="5:6" ht="21" customHeight="1" x14ac:dyDescent="0.4">
      <c r="E959" s="537"/>
      <c r="F959" s="537"/>
    </row>
    <row r="960" spans="5:6" ht="21" customHeight="1" x14ac:dyDescent="0.4">
      <c r="E960" s="537"/>
      <c r="F960" s="537"/>
    </row>
    <row r="961" spans="5:6" ht="21" customHeight="1" x14ac:dyDescent="0.4">
      <c r="E961" s="537"/>
      <c r="F961" s="537"/>
    </row>
    <row r="962" spans="5:6" ht="21" customHeight="1" x14ac:dyDescent="0.4">
      <c r="E962" s="537"/>
      <c r="F962" s="537"/>
    </row>
    <row r="963" spans="5:6" ht="21" customHeight="1" x14ac:dyDescent="0.4">
      <c r="E963" s="537"/>
      <c r="F963" s="537"/>
    </row>
    <row r="964" spans="5:6" ht="21" customHeight="1" x14ac:dyDescent="0.4">
      <c r="E964" s="537"/>
      <c r="F964" s="537"/>
    </row>
    <row r="965" spans="5:6" ht="21" customHeight="1" x14ac:dyDescent="0.4">
      <c r="E965" s="537"/>
      <c r="F965" s="537"/>
    </row>
    <row r="966" spans="5:6" ht="21" customHeight="1" x14ac:dyDescent="0.4">
      <c r="E966" s="537"/>
      <c r="F966" s="537"/>
    </row>
    <row r="967" spans="5:6" ht="21" customHeight="1" x14ac:dyDescent="0.4">
      <c r="E967" s="537"/>
      <c r="F967" s="537"/>
    </row>
    <row r="968" spans="5:6" ht="21" customHeight="1" x14ac:dyDescent="0.4">
      <c r="E968" s="537"/>
      <c r="F968" s="537"/>
    </row>
    <row r="969" spans="5:6" ht="21" customHeight="1" x14ac:dyDescent="0.4">
      <c r="E969" s="537"/>
      <c r="F969" s="537"/>
    </row>
    <row r="970" spans="5:6" ht="21" customHeight="1" x14ac:dyDescent="0.4">
      <c r="E970" s="537"/>
      <c r="F970" s="537"/>
    </row>
    <row r="971" spans="5:6" ht="21" customHeight="1" x14ac:dyDescent="0.4">
      <c r="E971" s="537"/>
      <c r="F971" s="537"/>
    </row>
    <row r="972" spans="5:6" ht="21" customHeight="1" x14ac:dyDescent="0.4">
      <c r="E972" s="537"/>
      <c r="F972" s="537"/>
    </row>
    <row r="973" spans="5:6" ht="21" customHeight="1" x14ac:dyDescent="0.4">
      <c r="E973" s="537"/>
      <c r="F973" s="537"/>
    </row>
    <row r="974" spans="5:6" ht="21" customHeight="1" x14ac:dyDescent="0.4">
      <c r="E974" s="537"/>
      <c r="F974" s="537"/>
    </row>
    <row r="975" spans="5:6" ht="21" customHeight="1" x14ac:dyDescent="0.4">
      <c r="E975" s="537"/>
      <c r="F975" s="537"/>
    </row>
    <row r="976" spans="5:6" ht="21" customHeight="1" x14ac:dyDescent="0.4">
      <c r="E976" s="537"/>
      <c r="F976" s="537"/>
    </row>
    <row r="977" spans="5:6" ht="21" customHeight="1" x14ac:dyDescent="0.4">
      <c r="E977" s="537"/>
      <c r="F977" s="537"/>
    </row>
    <row r="978" spans="5:6" ht="21" customHeight="1" x14ac:dyDescent="0.4">
      <c r="E978" s="537"/>
      <c r="F978" s="537"/>
    </row>
    <row r="979" spans="5:6" ht="21" customHeight="1" x14ac:dyDescent="0.4">
      <c r="E979" s="537"/>
      <c r="F979" s="537"/>
    </row>
    <row r="980" spans="5:6" ht="21" customHeight="1" x14ac:dyDescent="0.4">
      <c r="E980" s="537"/>
      <c r="F980" s="537"/>
    </row>
    <row r="981" spans="5:6" ht="21" customHeight="1" x14ac:dyDescent="0.4">
      <c r="E981" s="537"/>
      <c r="F981" s="537"/>
    </row>
    <row r="982" spans="5:6" ht="21" customHeight="1" x14ac:dyDescent="0.4">
      <c r="E982" s="537"/>
      <c r="F982" s="537"/>
    </row>
    <row r="983" spans="5:6" ht="21" customHeight="1" x14ac:dyDescent="0.4">
      <c r="E983" s="537"/>
      <c r="F983" s="537"/>
    </row>
    <row r="984" spans="5:6" ht="21" customHeight="1" x14ac:dyDescent="0.4">
      <c r="E984" s="537"/>
      <c r="F984" s="537"/>
    </row>
    <row r="985" spans="5:6" ht="21" customHeight="1" x14ac:dyDescent="0.4">
      <c r="E985" s="537"/>
      <c r="F985" s="537"/>
    </row>
    <row r="986" spans="5:6" ht="21" customHeight="1" x14ac:dyDescent="0.4">
      <c r="E986" s="537"/>
      <c r="F986" s="537"/>
    </row>
    <row r="987" spans="5:6" ht="21" customHeight="1" x14ac:dyDescent="0.4">
      <c r="E987" s="537"/>
      <c r="F987" s="537"/>
    </row>
    <row r="988" spans="5:6" ht="21" customHeight="1" x14ac:dyDescent="0.4">
      <c r="E988" s="537"/>
      <c r="F988" s="537"/>
    </row>
    <row r="989" spans="5:6" ht="21" customHeight="1" x14ac:dyDescent="0.4">
      <c r="E989" s="537"/>
      <c r="F989" s="537"/>
    </row>
    <row r="990" spans="5:6" ht="21" customHeight="1" x14ac:dyDescent="0.4">
      <c r="E990" s="537"/>
      <c r="F990" s="537"/>
    </row>
    <row r="991" spans="5:6" ht="21" customHeight="1" x14ac:dyDescent="0.4">
      <c r="E991" s="537"/>
      <c r="F991" s="537"/>
    </row>
    <row r="992" spans="5:6" ht="21" customHeight="1" x14ac:dyDescent="0.4">
      <c r="E992" s="537"/>
      <c r="F992" s="537"/>
    </row>
    <row r="993" spans="5:6" ht="21" customHeight="1" x14ac:dyDescent="0.4">
      <c r="E993" s="537"/>
      <c r="F993" s="537"/>
    </row>
    <row r="994" spans="5:6" ht="21" customHeight="1" x14ac:dyDescent="0.4">
      <c r="E994" s="537"/>
      <c r="F994" s="537"/>
    </row>
    <row r="995" spans="5:6" ht="21" customHeight="1" x14ac:dyDescent="0.4">
      <c r="E995" s="537"/>
      <c r="F995" s="537"/>
    </row>
    <row r="996" spans="5:6" ht="21" customHeight="1" x14ac:dyDescent="0.4">
      <c r="E996" s="537"/>
      <c r="F996" s="537"/>
    </row>
    <row r="997" spans="5:6" ht="21" customHeight="1" x14ac:dyDescent="0.4">
      <c r="E997" s="537"/>
      <c r="F997" s="537"/>
    </row>
    <row r="998" spans="5:6" ht="21" customHeight="1" x14ac:dyDescent="0.4">
      <c r="E998" s="537"/>
      <c r="F998" s="537"/>
    </row>
    <row r="999" spans="5:6" ht="21" customHeight="1" x14ac:dyDescent="0.4">
      <c r="E999" s="537"/>
      <c r="F999" s="537"/>
    </row>
    <row r="1000" spans="5:6" ht="21" customHeight="1" x14ac:dyDescent="0.4">
      <c r="E1000" s="537"/>
      <c r="F1000" s="537"/>
    </row>
    <row r="1001" spans="5:6" ht="21" customHeight="1" x14ac:dyDescent="0.4">
      <c r="E1001" s="537"/>
      <c r="F1001" s="537"/>
    </row>
  </sheetData>
  <sheetProtection password="DF7C" sheet="1" objects="1" scenarios="1"/>
  <autoFilter ref="A2:AQ211" xr:uid="{00000000-0009-0000-0000-000000000000}"/>
  <mergeCells count="42">
    <mergeCell ref="B195:C195"/>
    <mergeCell ref="B199:C199"/>
    <mergeCell ref="B203:C203"/>
    <mergeCell ref="B206:C206"/>
    <mergeCell ref="B209:C209"/>
    <mergeCell ref="B143:C143"/>
    <mergeCell ref="B148:C148"/>
    <mergeCell ref="B153:C153"/>
    <mergeCell ref="B186:C186"/>
    <mergeCell ref="B192:C192"/>
    <mergeCell ref="B160:C160"/>
    <mergeCell ref="B166:C166"/>
    <mergeCell ref="B171:C171"/>
    <mergeCell ref="B172:C172"/>
    <mergeCell ref="B175:C175"/>
    <mergeCell ref="B179:C179"/>
    <mergeCell ref="B184:C184"/>
    <mergeCell ref="B105:C105"/>
    <mergeCell ref="B125:C125"/>
    <mergeCell ref="B130:C130"/>
    <mergeCell ref="B131:C131"/>
    <mergeCell ref="B140:C140"/>
    <mergeCell ref="B87:C87"/>
    <mergeCell ref="B91:C91"/>
    <mergeCell ref="B92:C92"/>
    <mergeCell ref="B99:C99"/>
    <mergeCell ref="B102:C102"/>
    <mergeCell ref="B39:C39"/>
    <mergeCell ref="B44:C44"/>
    <mergeCell ref="B52:C52"/>
    <mergeCell ref="B57:C57"/>
    <mergeCell ref="B77:C77"/>
    <mergeCell ref="B23:C23"/>
    <mergeCell ref="B26:C26"/>
    <mergeCell ref="B31:C31"/>
    <mergeCell ref="B32:C32"/>
    <mergeCell ref="B36:C36"/>
    <mergeCell ref="B2:C2"/>
    <mergeCell ref="B3:C3"/>
    <mergeCell ref="B4:C4"/>
    <mergeCell ref="B12:C12"/>
    <mergeCell ref="B16:C16"/>
  </mergeCells>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S130"/>
  <sheetViews>
    <sheetView zoomScale="40" zoomScaleNormal="40" workbookViewId="0">
      <selection activeCell="E17" sqref="E17"/>
    </sheetView>
  </sheetViews>
  <sheetFormatPr baseColWidth="10" defaultRowHeight="14.4" x14ac:dyDescent="0.3"/>
  <cols>
    <col min="3" max="3" width="58.6640625" customWidth="1"/>
    <col min="4" max="4" width="39" customWidth="1"/>
    <col min="5" max="5" width="51.21875" style="106" customWidth="1"/>
    <col min="6" max="6" width="38.6640625" customWidth="1"/>
    <col min="7" max="9" width="51.33203125" customWidth="1"/>
    <col min="10" max="10" width="29.33203125" customWidth="1"/>
    <col min="11" max="11" width="42.6640625" customWidth="1"/>
    <col min="17" max="17" width="63.5546875" customWidth="1"/>
    <col min="18" max="18" width="38.5546875" customWidth="1"/>
    <col min="19" max="19" width="39.109375" customWidth="1"/>
  </cols>
  <sheetData>
    <row r="2" spans="3:19" ht="14.4" customHeight="1" x14ac:dyDescent="0.3">
      <c r="C2" s="1438" t="s">
        <v>2504</v>
      </c>
      <c r="D2" s="1438"/>
      <c r="E2" s="1438"/>
      <c r="F2" s="1438"/>
      <c r="Q2" s="1432" t="s">
        <v>2505</v>
      </c>
      <c r="R2" s="1433"/>
      <c r="S2" s="1434"/>
    </row>
    <row r="3" spans="3:19" ht="52.95" customHeight="1" x14ac:dyDescent="0.3">
      <c r="C3" s="1438"/>
      <c r="D3" s="1438"/>
      <c r="E3" s="1438"/>
      <c r="F3" s="1438"/>
      <c r="Q3" s="1435"/>
      <c r="R3" s="1436"/>
      <c r="S3" s="1437"/>
    </row>
    <row r="4" spans="3:19" ht="57.6" customHeight="1" x14ac:dyDescent="0.3">
      <c r="C4" s="84"/>
      <c r="D4" s="784" t="s">
        <v>1987</v>
      </c>
      <c r="E4" s="784" t="s">
        <v>2506</v>
      </c>
      <c r="F4" s="784" t="s">
        <v>1988</v>
      </c>
      <c r="Q4" s="84"/>
      <c r="R4" s="85" t="s">
        <v>1989</v>
      </c>
      <c r="S4" s="85" t="s">
        <v>2507</v>
      </c>
    </row>
    <row r="5" spans="3:19" ht="18" x14ac:dyDescent="0.35">
      <c r="C5" s="83" t="str">
        <f>+'PLAN DE DESARROLLO 2024 - 2027'!B4</f>
        <v xml:space="preserve"> SEGURIDAD HUMANA
</v>
      </c>
      <c r="D5" s="822">
        <f>+'PLAN DE DESARROLLO 2024 - 2027'!F4</f>
        <v>0.62879210773800021</v>
      </c>
      <c r="E5" s="117">
        <f>+'PLAN DE DESARROLLO 2024 - 2027'!K4</f>
        <v>0.52039961510956811</v>
      </c>
      <c r="F5" s="103">
        <v>0.25472941442069297</v>
      </c>
      <c r="Q5" s="83" t="str">
        <f t="shared" ref="Q5:Q10" si="0">+C5</f>
        <v xml:space="preserve"> SEGURIDAD HUMANA
</v>
      </c>
      <c r="R5" s="105">
        <f>+'PLAN DE DESARROLLO 2024 - 2027'!G4+'PLAN DE DESARROLLO 2024 - 2027'!H4</f>
        <v>0.44946141749228297</v>
      </c>
      <c r="S5" s="105">
        <f>+'PLAN DE DESARROLLO 2024 - 2027'!M4</f>
        <v>0.4762878624287053</v>
      </c>
    </row>
    <row r="6" spans="3:19" x14ac:dyDescent="0.3">
      <c r="C6" s="10" t="str">
        <f>+'PLAN DE DESARROLLO 2024 - 2027'!B5</f>
        <v xml:space="preserve"> Seguridad Ciudadana y Orden Público 
</v>
      </c>
      <c r="D6" s="823">
        <f>+'PLAN DE DESARROLLO 2024 - 2027'!F5</f>
        <v>0.88476840343177321</v>
      </c>
      <c r="E6" s="117">
        <f>+'PLAN DE DESARROLLO 2024 - 2027'!K5</f>
        <v>0.64063194152581171</v>
      </c>
      <c r="F6" s="103">
        <v>0.40033301822466277</v>
      </c>
      <c r="Q6" s="10" t="str">
        <f t="shared" si="0"/>
        <v xml:space="preserve"> Seguridad Ciudadana y Orden Público 
</v>
      </c>
      <c r="R6" s="103">
        <f>+'PLAN DE DESARROLLO 2024 - 2027'!G5+'PLAN DE DESARROLLO 2024 - 2027'!H5</f>
        <v>0.63330030900374967</v>
      </c>
      <c r="S6" s="103">
        <f>+'PLAN DE DESARROLLO 2024 - 2027'!M5</f>
        <v>0.56618942768161484</v>
      </c>
    </row>
    <row r="7" spans="3:19" x14ac:dyDescent="0.3">
      <c r="C7" s="10" t="str">
        <f>+'PLAN DE DESARROLLO 2024 - 2027'!B11</f>
        <v xml:space="preserve">Construccion de paz, Derechos Humanos y Convivencia
</v>
      </c>
      <c r="D7" s="823">
        <f>+'PLAN DE DESARROLLO 2024 - 2027'!F11</f>
        <v>0.58684348701403577</v>
      </c>
      <c r="E7" s="117">
        <f>+'PLAN DE DESARROLLO 2024 - 2027'!K11</f>
        <v>0.51564037674127183</v>
      </c>
      <c r="F7" s="103">
        <v>0.25041408617424243</v>
      </c>
      <c r="Q7" s="84" t="str">
        <f t="shared" si="0"/>
        <v xml:space="preserve">Construccion de paz, Derechos Humanos y Convivencia
</v>
      </c>
      <c r="R7" s="103">
        <f>+'PLAN DE DESARROLLO 2024 - 2027'!G11+'PLAN DE DESARROLLO 2024 - 2027'!H11</f>
        <v>0.43724234496124026</v>
      </c>
      <c r="S7" s="103">
        <f>+'PLAN DE DESARROLLO 2024 - 2027'!M11</f>
        <v>0.49297341860465116</v>
      </c>
    </row>
    <row r="8" spans="3:19" x14ac:dyDescent="0.3">
      <c r="C8" s="10" t="str">
        <f>+'PLAN DE DESARROLLO 2024 - 2027'!B20</f>
        <v xml:space="preserve"> Salud Pública y Aseguramiento
</v>
      </c>
      <c r="D8" s="823">
        <f>+'PLAN DE DESARROLLO 2024 - 2027'!F20</f>
        <v>0.54395347999674115</v>
      </c>
      <c r="E8" s="1051">
        <f>+'PLAN DE DESARROLLO 2024 - 2027'!K20</f>
        <v>0.43842939618684557</v>
      </c>
      <c r="F8" s="103">
        <v>0.20515575037857808</v>
      </c>
      <c r="Q8" s="10" t="str">
        <f t="shared" si="0"/>
        <v xml:space="preserve"> Salud Pública y Aseguramiento
</v>
      </c>
      <c r="R8" s="103">
        <f>+'PLAN DE DESARROLLO 2024 - 2027'!G20+'PLAN DE DESARROLLO 2024 - 2027'!H20</f>
        <v>0.52883823529411766</v>
      </c>
      <c r="S8" s="103">
        <f>+'PLAN DE DESARROLLO 2024 - 2027'!M20</f>
        <v>0.40754170935687423</v>
      </c>
    </row>
    <row r="9" spans="3:19" x14ac:dyDescent="0.3">
      <c r="C9" s="10" t="str">
        <f>+'PLAN DE DESARROLLO 2024 - 2027'!B26</f>
        <v xml:space="preserve">Atención Integral a Grupos de Especial Protección
</v>
      </c>
      <c r="D9" s="823">
        <f>+'PLAN DE DESARROLLO 2024 - 2027'!F26</f>
        <v>0.6068847164726574</v>
      </c>
      <c r="E9" s="117">
        <f>+'PLAN DE DESARROLLO 2024 - 2027'!K26</f>
        <v>0.62883910107787166</v>
      </c>
      <c r="F9" s="103">
        <v>0.24621230380461609</v>
      </c>
      <c r="Q9" s="10" t="str">
        <f t="shared" si="0"/>
        <v xml:space="preserve">Atención Integral a Grupos de Especial Protección
</v>
      </c>
      <c r="R9" s="103">
        <f>+'PLAN DE DESARROLLO 2024 - 2027'!G26+'PLAN DE DESARROLLO 2024 - 2027'!H26</f>
        <v>0.49009351856437344</v>
      </c>
      <c r="S9" s="103">
        <f>+'PLAN DE DESARROLLO 2024 - 2027'!M26</f>
        <v>0.46920061064175028</v>
      </c>
    </row>
    <row r="10" spans="3:19" x14ac:dyDescent="0.3">
      <c r="C10" s="10" t="str">
        <f>+'PLAN DE DESARROLLO 2024 - 2027'!B34</f>
        <v xml:space="preserve">Superación de la pobreza extrema y soberanía alimentaria
</v>
      </c>
      <c r="D10" s="823">
        <f>+'PLAN DE DESARROLLO 2024 - 2027'!F34</f>
        <v>0.48976309154789766</v>
      </c>
      <c r="E10" s="117">
        <f>+'PLAN DE DESARROLLO 2024 - 2027'!K34</f>
        <v>0.46829141731287866</v>
      </c>
      <c r="F10" s="103">
        <v>0.17153191352136538</v>
      </c>
      <c r="Q10" s="10" t="str">
        <f t="shared" si="0"/>
        <v xml:space="preserve">Superación de la pobreza extrema y soberanía alimentaria
</v>
      </c>
      <c r="R10" s="103">
        <f>+'PLAN DE DESARROLLO 2024 - 2027'!G34+'PLAN DE DESARROLLO 2024 - 2027'!H34</f>
        <v>0.43445002459917403</v>
      </c>
      <c r="S10" s="103">
        <f>+'PLAN DE DESARROLLO 2024 - 2027'!M34</f>
        <v>0.46227019141616099</v>
      </c>
    </row>
    <row r="12" spans="3:19" x14ac:dyDescent="0.3">
      <c r="D12" s="106"/>
      <c r="F12" s="106"/>
    </row>
    <row r="13" spans="3:19" x14ac:dyDescent="0.3">
      <c r="D13" s="106"/>
      <c r="F13" s="106"/>
    </row>
    <row r="29" spans="3:9" x14ac:dyDescent="0.3">
      <c r="D29" s="106"/>
    </row>
    <row r="31" spans="3:9" ht="81.599999999999994" customHeight="1" x14ac:dyDescent="0.3">
      <c r="C31" s="10"/>
      <c r="D31" s="85" t="s">
        <v>2508</v>
      </c>
      <c r="E31" s="783" t="s">
        <v>2509</v>
      </c>
    </row>
    <row r="32" spans="3:9" ht="29.4" x14ac:dyDescent="0.35">
      <c r="C32" s="80" t="str">
        <f>+'PLAN DE DESARROLLO 2024 - 2027'!B5</f>
        <v xml:space="preserve"> Seguridad Ciudadana y Orden Público 
</v>
      </c>
      <c r="D32" s="915">
        <f>+S6</f>
        <v>0.56618942768161484</v>
      </c>
      <c r="E32" s="917">
        <f>+'PLAN DE DESARROLLO 2024 - 2027'!K5</f>
        <v>0.64063194152581171</v>
      </c>
      <c r="G32" s="81" t="s">
        <v>1585</v>
      </c>
      <c r="H32" s="79"/>
      <c r="I32" s="79"/>
    </row>
    <row r="33" spans="3:6" ht="34.950000000000003" customHeight="1" x14ac:dyDescent="0.3">
      <c r="C33" s="87" t="str">
        <f>+'PLAN DE DESARROLLO 2024 - 2027'!B6</f>
        <v xml:space="preserve"> PLAN ESTRATÉGICO DE SEGURIDAD INTEGRAL TITAN 24</v>
      </c>
      <c r="D33" s="916">
        <f>+'PLAN DE DESARROLLO 2024 - 2027'!M6</f>
        <v>0.39</v>
      </c>
      <c r="E33" s="1051">
        <f>+'PLAN DE DESARROLLO 2024 - 2027'!K6</f>
        <v>0.41</v>
      </c>
    </row>
    <row r="34" spans="3:6" ht="15" customHeight="1" x14ac:dyDescent="0.3">
      <c r="C34" s="87" t="str">
        <f>+'PLAN DE DESARROLLO 2024 - 2027'!B7</f>
        <v>EL CUERPO DE BOMBEROS AVANZA</v>
      </c>
      <c r="D34" s="916">
        <f>+'PLAN DE DESARROLLO 2024 - 2027'!M7</f>
        <v>0.64999999999999991</v>
      </c>
      <c r="E34" s="117">
        <f>+'PLAN DE DESARROLLO 2024 - 2027'!K7</f>
        <v>0.66666666666666663</v>
      </c>
    </row>
    <row r="35" spans="3:6" ht="24.6" x14ac:dyDescent="0.3">
      <c r="C35" s="87" t="str">
        <f>+'PLAN DE DESARROLLO 2024 - 2027'!B8</f>
        <v>SEGURIDAD YA CON DOTACIÓN A LOS ORGANISMOS DE SEGURIDAD, SOCORRO, JUSTICIA Y CONVIVENCIA Y TECNOLOGÍA PARA LA PREVENCIÓN</v>
      </c>
      <c r="D35" s="916">
        <f>+'PLAN DE DESARROLLO 2024 - 2027'!M8</f>
        <v>0.60071725893871608</v>
      </c>
      <c r="E35" s="117">
        <f>+'PLAN DE DESARROLLO 2024 - 2027'!K8</f>
        <v>0.70675054096239232</v>
      </c>
    </row>
    <row r="36" spans="3:6" ht="31.95" customHeight="1" x14ac:dyDescent="0.3">
      <c r="C36" s="87" t="str">
        <f>+'PLAN DE DESARROLLO 2024 - 2027'!B9</f>
        <v xml:space="preserve"> SEGURIDAD YA EN LAS PLAYAS DE CARTAGENA</v>
      </c>
      <c r="D36" s="916">
        <f>+'PLAN DE DESARROLLO 2024 - 2027'!M9</f>
        <v>0.85</v>
      </c>
      <c r="E36" s="117">
        <f>+'PLAN DE DESARROLLO 2024 - 2027'!K9</f>
        <v>0.75</v>
      </c>
    </row>
    <row r="37" spans="3:6" ht="38.4" customHeight="1" x14ac:dyDescent="0.3">
      <c r="C37" s="87" t="str">
        <f>+'PLAN DE DESARROLLO 2024 - 2027'!B10</f>
        <v xml:space="preserve"> EDUCACIÓN, CULTURA Y SEGURIDAD VIAL PARA AVANZAR</v>
      </c>
      <c r="D37" s="916">
        <f>+'PLAN DE DESARROLLO 2024 - 2027'!M10</f>
        <v>0.66974250000000002</v>
      </c>
      <c r="E37" s="117">
        <f>+'PLAN DE DESARROLLO 2024 - 2027'!K10</f>
        <v>0.66974250000000002</v>
      </c>
    </row>
    <row r="47" spans="3:6" ht="76.2" customHeight="1" x14ac:dyDescent="0.3">
      <c r="C47" s="10"/>
      <c r="D47" s="85" t="s">
        <v>2508</v>
      </c>
      <c r="E47" s="783" t="s">
        <v>2510</v>
      </c>
      <c r="F47" s="79" t="s">
        <v>1585</v>
      </c>
    </row>
    <row r="48" spans="3:6" ht="55.95" customHeight="1" x14ac:dyDescent="0.35">
      <c r="C48" s="121" t="str">
        <f>+Q7</f>
        <v xml:space="preserve">Construccion de paz, Derechos Humanos y Convivencia
</v>
      </c>
      <c r="D48" s="782">
        <f>+S7</f>
        <v>0.49297341860465116</v>
      </c>
      <c r="E48" s="117">
        <f>+'PLAN DE DESARROLLO 2024 - 2027'!K11</f>
        <v>0.51564037674127183</v>
      </c>
    </row>
    <row r="49" spans="3:5" ht="24" customHeight="1" x14ac:dyDescent="0.3">
      <c r="C49" s="86" t="str">
        <f>+'PLAN DE DESARROLLO 2024 - 2027'!B12</f>
        <v xml:space="preserve"> UNA VIDA LIBRE DE VIOLENCIA PARA LAS MUJERES</v>
      </c>
      <c r="D49" s="88">
        <f>+'PLAN DE DESARROLLO 2024 - 2027'!M12</f>
        <v>0.87988</v>
      </c>
      <c r="E49" s="117">
        <f>+'PLAN DE DESARROLLO 2024 - 2027'!K12</f>
        <v>0.84073333333333322</v>
      </c>
    </row>
    <row r="50" spans="3:5" ht="31.2" customHeight="1" x14ac:dyDescent="0.3">
      <c r="C50" s="86" t="str">
        <f>+'PLAN DE DESARROLLO 2024 - 2027'!B13</f>
        <v xml:space="preserve"> DERECHO A LA PAZ Y CONVIVENCIA CON EQUIDAD DE GÉNERO</v>
      </c>
      <c r="D50" s="88">
        <f>+'PLAN DE DESARROLLO 2024 - 2027'!M13</f>
        <v>0.57599999999999996</v>
      </c>
      <c r="E50" s="117">
        <f>+'PLAN DE DESARROLLO 2024 - 2027'!K13</f>
        <v>0.54749999999999999</v>
      </c>
    </row>
    <row r="51" spans="3:5" ht="18" customHeight="1" x14ac:dyDescent="0.3">
      <c r="C51" s="86" t="str">
        <f>+'PLAN DE DESARROLLO 2024 - 2027'!B14</f>
        <v>CARTAGENA AVANZA EN CONVIVENCIA</v>
      </c>
      <c r="D51" s="88">
        <f>+'PLAN DE DESARROLLO 2024 - 2027'!M14</f>
        <v>0.57499999999999996</v>
      </c>
      <c r="E51" s="117">
        <f>+'PLAN DE DESARROLLO 2024 - 2027'!K14</f>
        <v>0.625</v>
      </c>
    </row>
    <row r="52" spans="3:5" ht="28.8" x14ac:dyDescent="0.3">
      <c r="C52" s="86" t="str">
        <f>+'PLAN DE DESARROLLO 2024 - 2027'!B15</f>
        <v xml:space="preserve"> AVANZANDO EN EL FORTALECIMIENTO DE CASAS DE JUSTICIA, COMISARÍAS DE FAMILIA E INSPECCIONES DE POLICÍA</v>
      </c>
      <c r="D52" s="88">
        <f>+'PLAN DE DESARROLLO 2024 - 2027'!M15</f>
        <v>0.29582333333333333</v>
      </c>
      <c r="E52" s="117">
        <f>+'PLAN DE DESARROLLO 2024 - 2027'!K15</f>
        <v>0.47022380952380949</v>
      </c>
    </row>
    <row r="53" spans="3:5" ht="39.6" customHeight="1" x14ac:dyDescent="0.3">
      <c r="C53" s="86" t="str">
        <f>+'PLAN DE DESARROLLO 2024 - 2027'!B16</f>
        <v xml:space="preserve"> ATENCIÓN INTEGRAL A JÓVENES EN SITUACIÓN DE RIESGO SOCIAL</v>
      </c>
      <c r="D53" s="88">
        <f>+'PLAN DE DESARROLLO 2024 - 2027'!M16</f>
        <v>0.50180000000000002</v>
      </c>
      <c r="E53" s="117">
        <f>+'PLAN DE DESARROLLO 2024 - 2027'!K16</f>
        <v>0.50180000000000002</v>
      </c>
    </row>
    <row r="54" spans="3:5" ht="28.8" x14ac:dyDescent="0.3">
      <c r="C54" s="86" t="str">
        <f>+'PLAN DE DESARROLLO 2024 - 2027'!B17</f>
        <v>ASISTENCIA, ATENCIÓN Y REPARACIÓN EFECTIVA E INTEGRAL A LAS VÍCTIMAS DEL CONFLICTO ARMADO</v>
      </c>
      <c r="D54" s="88">
        <f>+'PLAN DE DESARROLLO 2024 - 2027'!M17</f>
        <v>0.26117500000000005</v>
      </c>
      <c r="E54" s="122">
        <f>+'PLAN DE DESARROLLO 2024 - 2027'!K17</f>
        <v>0.28501315789473686</v>
      </c>
    </row>
    <row r="55" spans="3:5" ht="18" customHeight="1" x14ac:dyDescent="0.3">
      <c r="C55" s="86" t="str">
        <f>+'PLAN DE DESARROLLO 2024 - 2027'!B18</f>
        <v>DERECHOS HUMANOS PARA LA VIDA DIGNA</v>
      </c>
      <c r="D55" s="88">
        <f>+'PLAN DE DESARROLLO 2024 - 2027'!M18</f>
        <v>0.52630418604651164</v>
      </c>
      <c r="E55" s="117">
        <f>+'PLAN DE DESARROLLO 2024 - 2027'!K18</f>
        <v>0.52151937984496133</v>
      </c>
    </row>
    <row r="56" spans="3:5" ht="28.8" x14ac:dyDescent="0.3">
      <c r="C56" s="86" t="str">
        <f>+'PLAN DE DESARROLLO 2024 - 2027'!B19</f>
        <v>SISTEMA PENITENCIARIO Y CARCELARIO EN EL MARCO DE LOS DERECHOS HUMANOS</v>
      </c>
      <c r="D56" s="88">
        <f>+'PLAN DE DESARROLLO 2024 - 2027'!M19</f>
        <v>0.1875</v>
      </c>
      <c r="E56" s="122">
        <f>+'PLAN DE DESARROLLO 2024 - 2027'!K19</f>
        <v>0.33333333333333331</v>
      </c>
    </row>
    <row r="59" spans="3:5" ht="74.400000000000006" customHeight="1" x14ac:dyDescent="0.3">
      <c r="C59" s="10"/>
      <c r="D59" s="85" t="s">
        <v>2508</v>
      </c>
      <c r="E59" s="783" t="s">
        <v>2511</v>
      </c>
    </row>
    <row r="60" spans="3:5" ht="36" x14ac:dyDescent="0.35">
      <c r="C60" s="89" t="str">
        <f>+Q8</f>
        <v xml:space="preserve"> Salud Pública y Aseguramiento
</v>
      </c>
      <c r="D60" s="782">
        <f>+S8</f>
        <v>0.40754170935687423</v>
      </c>
      <c r="E60" s="1051">
        <f>+'PLAN DE DESARROLLO 2024 - 2027'!K20</f>
        <v>0.43842939618684557</v>
      </c>
    </row>
    <row r="61" spans="3:5" ht="26.4" customHeight="1" x14ac:dyDescent="0.3">
      <c r="C61" s="86" t="str">
        <f>+'PLAN DE DESARROLLO 2024 - 2027'!B21</f>
        <v xml:space="preserve"> SALUD CON COBERTURA, ACCESIBILIDAD, CALIDAD E INCLUSIÓN</v>
      </c>
      <c r="D61" s="103">
        <f>+'PLAN DE DESARROLLO 2024 - 2027'!M21</f>
        <v>0.34224696772547941</v>
      </c>
      <c r="E61" s="117">
        <f>+'PLAN DE DESARROLLO 2024 - 2027'!K21</f>
        <v>0.47128507167773109</v>
      </c>
    </row>
    <row r="62" spans="3:5" ht="24.6" customHeight="1" x14ac:dyDescent="0.3">
      <c r="C62" s="86" t="str">
        <f>+'PLAN DE DESARROLLO 2024 - 2027'!B22</f>
        <v xml:space="preserve"> DERECHOS EN SALUD Y PROMOCIÓN SOCIAL</v>
      </c>
      <c r="D62" s="103">
        <f>+'PLAN DE DESARROLLO 2024 - 2027'!M22</f>
        <v>0.50266000000000011</v>
      </c>
      <c r="E62" s="117">
        <f>+'PLAN DE DESARROLLO 2024 - 2027'!K22</f>
        <v>0.50011666666666665</v>
      </c>
    </row>
    <row r="63" spans="3:5" ht="43.2" x14ac:dyDescent="0.3">
      <c r="C63" s="86" t="str">
        <f>+'PLAN DE DESARROLLO 2024 - 2027'!B23</f>
        <v xml:space="preserve"> FORTALECIMIENTO DEL CENTRO REGULADOR DE URGENCIAS, EMERGENCIAS Y DESASTRES EN EL DISTRITO DE CARTAGENA - CRUED</v>
      </c>
      <c r="D63" s="103">
        <f>+'PLAN DE DESARROLLO 2024 - 2027'!M23</f>
        <v>9.6551724137931047E-2</v>
      </c>
      <c r="E63" s="1051">
        <f>+'PLAN DE DESARROLLO 2024 - 2027'!K23</f>
        <v>0.36637931034482762</v>
      </c>
    </row>
    <row r="64" spans="3:5" ht="28.8" customHeight="1" x14ac:dyDescent="0.3">
      <c r="C64" s="86" t="str">
        <f>+'PLAN DE DESARROLLO 2024 - 2027'!B24</f>
        <v>SALUD PÚBLICA</v>
      </c>
      <c r="D64" s="103">
        <f>+'PLAN DE DESARROLLO 2024 - 2027'!M24</f>
        <v>0.53208524559790826</v>
      </c>
      <c r="E64" s="117">
        <f>+'PLAN DE DESARROLLO 2024 - 2027'!K24</f>
        <v>0.54186593224500235</v>
      </c>
    </row>
    <row r="65" spans="3:6" ht="33.6" customHeight="1" x14ac:dyDescent="0.3">
      <c r="C65" s="86" t="str">
        <f>+'PLAN DE DESARROLLO 2024 - 2027'!B25</f>
        <v>CEMENTERIOS</v>
      </c>
      <c r="D65" s="103">
        <f>+'PLAN DE DESARROLLO 2024 - 2027'!M25</f>
        <v>0.3</v>
      </c>
      <c r="E65" s="122">
        <f>+'PLAN DE DESARROLLO 2024 - 2027'!K25</f>
        <v>0.3125</v>
      </c>
    </row>
    <row r="69" spans="3:6" ht="72" customHeight="1" x14ac:dyDescent="0.3">
      <c r="C69" s="10"/>
      <c r="D69" s="85" t="s">
        <v>2508</v>
      </c>
      <c r="E69" s="783" t="s">
        <v>2512</v>
      </c>
      <c r="F69" s="79" t="s">
        <v>1585</v>
      </c>
    </row>
    <row r="70" spans="3:6" ht="69" customHeight="1" x14ac:dyDescent="0.35">
      <c r="C70" s="89" t="str">
        <f>+Q9</f>
        <v xml:space="preserve">Atención Integral a Grupos de Especial Protección
</v>
      </c>
      <c r="D70" s="103">
        <f>+S9</f>
        <v>0.46920061064175028</v>
      </c>
      <c r="E70" s="117">
        <f>+'PLAN DE DESARROLLO 2024 - 2027'!K26</f>
        <v>0.62883910107787166</v>
      </c>
    </row>
    <row r="71" spans="3:6" ht="39.6" customHeight="1" x14ac:dyDescent="0.3">
      <c r="C71" s="86" t="str">
        <f>+'PLAN DE DESARROLLO 2024 - 2027'!B27</f>
        <v xml:space="preserve"> FORTALECIMIENTO A LA PROTECCIÓN DIGNA DE LAS PERSONAS MAYORES EN EL DISTRITO DE CARTAGENA</v>
      </c>
      <c r="D71" s="103">
        <f>+'PLAN DE DESARROLLO 2024 - 2027'!M27</f>
        <v>0.42271566523605159</v>
      </c>
      <c r="E71" s="117">
        <f>+'PLAN DE DESARROLLO 2024 - 2027'!K27</f>
        <v>0.56705472103004295</v>
      </c>
    </row>
    <row r="72" spans="3:6" ht="60" customHeight="1" x14ac:dyDescent="0.3">
      <c r="C72" s="86" t="str">
        <f>+'PLAN DE DESARROLLO 2024 - 2027'!B28</f>
        <v xml:space="preserve"> ASISTENCIA SOCIAL E INCLUYENTE A LAS PERSONAS CON DISCAPACIDAD Y/O SU FAMILIA O CUIDADORES PARA LA SEGURIDAD HUMANA Y BIENESTAR SOCIAL</v>
      </c>
      <c r="D72" s="103">
        <f>+'PLAN DE DESARROLLO 2024 - 2027'!M28</f>
        <v>0.53467555040556203</v>
      </c>
      <c r="E72" s="117">
        <f>+'PLAN DE DESARROLLO 2024 - 2027'!K28</f>
        <v>0.51926419466975671</v>
      </c>
    </row>
    <row r="73" spans="3:6" ht="28.8" x14ac:dyDescent="0.3">
      <c r="C73" s="86" t="str">
        <f>+'PLAN DE DESARROLLO 2024 - 2027'!B29</f>
        <v xml:space="preserve"> UNIDOS PARA LA INCLUSIÓN PRODUCTIVA DE LAS PERSONAS CON DISCAPACIDAD</v>
      </c>
      <c r="D73" s="103">
        <f>+'PLAN DE DESARROLLO 2024 - 2027'!M29</f>
        <v>0.47299999999999998</v>
      </c>
      <c r="E73" s="117">
        <f>+'PLAN DE DESARROLLO 2024 - 2027'!K29</f>
        <v>0.46958333333333335</v>
      </c>
    </row>
    <row r="74" spans="3:6" ht="38.4" customHeight="1" x14ac:dyDescent="0.3">
      <c r="C74" s="86" t="str">
        <f>+'PLAN DE DESARROLLO 2024 - 2027'!B30</f>
        <v xml:space="preserve"> CIUDADANOS HABITANTES DE CALLE CON PROTECCIÓN SOCIAL Y GARANTÍA DE DERECHOS</v>
      </c>
      <c r="D74" s="103">
        <f>+'PLAN DE DESARROLLO 2024 - 2027'!M30</f>
        <v>0.45500000000000002</v>
      </c>
      <c r="E74" s="117">
        <f>+'PLAN DE DESARROLLO 2024 - 2027'!K30</f>
        <v>0.55000000000000004</v>
      </c>
    </row>
    <row r="75" spans="3:6" ht="20.399999999999999" customHeight="1" x14ac:dyDescent="0.3">
      <c r="C75" s="86" t="str">
        <f>+'PLAN DE DESARROLLO 2024 - 2027'!B31</f>
        <v xml:space="preserve"> ATENCIÓN INTEGRAL AL MIGRANTE</v>
      </c>
      <c r="D75" s="103">
        <f>+'PLAN DE DESARROLLO 2024 - 2027'!M31</f>
        <v>0.42064735026855027</v>
      </c>
      <c r="E75" s="117">
        <f>+'PLAN DE DESARROLLO 2024 - 2027'!K31</f>
        <v>0.61533235743409687</v>
      </c>
    </row>
    <row r="76" spans="3:6" ht="24" customHeight="1" x14ac:dyDescent="0.3">
      <c r="C76" s="86" t="str">
        <f>+'PLAN DE DESARROLLO 2024 - 2027'!B32</f>
        <v xml:space="preserve"> CARTAGENA DIVERSA</v>
      </c>
      <c r="D76" s="103">
        <f>+'PLAN DE DESARROLLO 2024 - 2027'!M32</f>
        <v>0.48270000000000007</v>
      </c>
      <c r="E76" s="117">
        <f>+'PLAN DE DESARROLLO 2024 - 2027'!K32</f>
        <v>0.61180000000000001</v>
      </c>
    </row>
    <row r="81" spans="3:6" ht="76.2" customHeight="1" x14ac:dyDescent="0.3">
      <c r="C81" s="10"/>
      <c r="D81" s="85" t="s">
        <v>2508</v>
      </c>
      <c r="E81" s="783" t="s">
        <v>2513</v>
      </c>
      <c r="F81" s="79" t="s">
        <v>1585</v>
      </c>
    </row>
    <row r="82" spans="3:6" ht="54" x14ac:dyDescent="0.35">
      <c r="C82" s="89" t="str">
        <f>+'PLAN DE DESARROLLO 2024 - 2027'!B34</f>
        <v xml:space="preserve">Superación de la pobreza extrema y soberanía alimentaria
</v>
      </c>
      <c r="D82" s="103">
        <f>+S10</f>
        <v>0.46227019141616099</v>
      </c>
      <c r="E82" s="117">
        <f>+'PLAN DE DESARROLLO 2024 - 2027'!K34</f>
        <v>0.46829141731287866</v>
      </c>
    </row>
    <row r="83" spans="3:6" ht="28.8" customHeight="1" x14ac:dyDescent="0.3">
      <c r="C83" s="86" t="str">
        <f>+'PLAN DE DESARROLLO 2024 - 2027'!B35</f>
        <v xml:space="preserve"> IDENTIFICACIÓN PARA LA SUPERACIÓN DE LA POBREZA EXTREMA</v>
      </c>
      <c r="D83" s="103">
        <f>+'PLAN DE DESARROLLO 2024 - 2027'!M35</f>
        <v>0.35053068181818181</v>
      </c>
      <c r="E83" s="1051">
        <f>+'PLAN DE DESARROLLO 2024 - 2027'!K35</f>
        <v>0.34830113636363635</v>
      </c>
    </row>
    <row r="84" spans="3:6" ht="37.200000000000003" customHeight="1" x14ac:dyDescent="0.3">
      <c r="C84" s="86" t="str">
        <f>+'PLAN DE DESARROLLO 2024 - 2027'!B36</f>
        <v xml:space="preserve"> SALUD PARA LA SUPERACIÓN DE LA POBREZA EXTREMA</v>
      </c>
      <c r="D84" s="103">
        <f>+'PLAN DE DESARROLLO 2024 - 2027'!M36</f>
        <v>0.75401999999999991</v>
      </c>
      <c r="E84" s="117">
        <f>+'PLAN DE DESARROLLO 2024 - 2027'!K36</f>
        <v>0.76648888888888889</v>
      </c>
    </row>
    <row r="85" spans="3:6" ht="49.2" customHeight="1" x14ac:dyDescent="0.3">
      <c r="C85" s="86" t="str">
        <f>+'PLAN DE DESARROLLO 2024 - 2027'!B37</f>
        <v xml:space="preserve"> EDUCACIÓN PARA LA SUPERACIÓN DE LA POBREZA EXTREMA</v>
      </c>
      <c r="D85" s="103">
        <f>+'PLAN DE DESARROLLO 2024 - 2027'!M37</f>
        <v>0.4377733158490178</v>
      </c>
      <c r="E85" s="1051">
        <f>+'PLAN DE DESARROLLO 2024 - 2027'!K37</f>
        <v>0.41810057338270079</v>
      </c>
    </row>
    <row r="86" spans="3:6" ht="30" customHeight="1" x14ac:dyDescent="0.3">
      <c r="C86" s="86" t="str">
        <f>+'PLAN DE DESARROLLO 2024 - 2027'!B38</f>
        <v xml:space="preserve"> HABITABILIDAD PARA LA SUPERACIÓN DE LA POBREZA EXTREMA</v>
      </c>
      <c r="D86" s="103">
        <f>+'PLAN DE DESARROLLO 2024 - 2027'!M38</f>
        <v>2.5000000000000001E-2</v>
      </c>
      <c r="E86" s="126">
        <f>+'PLAN DE DESARROLLO 2024 - 2027'!K38</f>
        <v>2.5000000000000001E-2</v>
      </c>
    </row>
    <row r="87" spans="3:6" ht="28.8" x14ac:dyDescent="0.3">
      <c r="C87" s="86" t="str">
        <f>+'PLAN DE DESARROLLO 2024 - 2027'!B39</f>
        <v xml:space="preserve"> INGRESO Y TRABAJO PARA LA SUPERACIÓN DE LA POBREZA EXTREMA</v>
      </c>
      <c r="D87" s="103">
        <f>+'PLAN DE DESARROLLO 2024 - 2027'!M39</f>
        <v>0.58047085526315789</v>
      </c>
      <c r="E87" s="117">
        <f>+'PLAN DE DESARROLLO 2024 - 2027'!K39</f>
        <v>0.58277039473684211</v>
      </c>
    </row>
    <row r="88" spans="3:6" ht="34.799999999999997" customHeight="1" x14ac:dyDescent="0.3">
      <c r="C88" s="86" t="str">
        <f>+'PLAN DE DESARROLLO 2024 - 2027'!B40</f>
        <v xml:space="preserve"> BANCARIZACIÓN PARA LA SUPERACIÓN DE LA POBREZA EXTREMA</v>
      </c>
      <c r="D88" s="103">
        <f>+'PLAN DE DESARROLLO 2024 - 2027'!M40</f>
        <v>2.4434999999999998E-2</v>
      </c>
      <c r="E88" s="126">
        <f>+'PLAN DE DESARROLLO 2024 - 2027'!K40</f>
        <v>8.5058333333333333E-2</v>
      </c>
    </row>
    <row r="89" spans="3:6" ht="28.8" x14ac:dyDescent="0.3">
      <c r="C89" s="86" t="str">
        <f>+'PLAN DE DESARROLLO 2024 - 2027'!B41</f>
        <v xml:space="preserve"> DINÁMICA FAMILIAR PARA LA SUPERACIÓN DE LA POBREZA EXTREMA</v>
      </c>
      <c r="D89" s="103">
        <f>+'PLAN DE DESARROLLO 2024 - 2027'!M41</f>
        <v>0.64027106227106223</v>
      </c>
      <c r="E89" s="117">
        <f>+'PLAN DE DESARROLLO 2024 - 2027'!K41</f>
        <v>0.58818070818070811</v>
      </c>
    </row>
    <row r="90" spans="3:6" ht="28.8" x14ac:dyDescent="0.3">
      <c r="C90" s="86" t="str">
        <f>+'PLAN DE DESARROLLO 2024 - 2027'!B42</f>
        <v xml:space="preserve"> SEGURIDAD ALIMENTARIA Y NUTRICIÓN PARA LA SUPERACIÓN DE LA POBREZA EXTREMA</v>
      </c>
      <c r="D90" s="103">
        <f>+'PLAN DE DESARROLLO 2024 - 2027'!M42</f>
        <v>0.40015588235294119</v>
      </c>
      <c r="E90" s="1051">
        <f>+'PLAN DE DESARROLLO 2024 - 2027'!K42</f>
        <v>0.4186372549019608</v>
      </c>
    </row>
    <row r="91" spans="3:6" ht="28.8" x14ac:dyDescent="0.3">
      <c r="C91" s="86" t="str">
        <f>+'PLAN DE DESARROLLO 2024 - 2027'!B43</f>
        <v xml:space="preserve"> ACCESO A LA JUSTICIA PARA LA SUPERACIÓN DE LA POBREZA EXTREMA</v>
      </c>
      <c r="D91" s="103">
        <f>+'PLAN DE DESARROLLO 2024 - 2027'!M43</f>
        <v>0.59558823529411775</v>
      </c>
      <c r="E91" s="117">
        <f>+'PLAN DE DESARROLLO 2024 - 2027'!K43</f>
        <v>0.57352941176470584</v>
      </c>
    </row>
    <row r="92" spans="3:6" ht="32.4" customHeight="1" x14ac:dyDescent="0.3">
      <c r="C92" s="86" t="str">
        <f>+'PLAN DE DESARROLLO 2024 - 2027'!B44</f>
        <v xml:space="preserve"> FORTALECIMIENTO INSTITUCIONAL PARA LA SUPERACIÓN DE LA POBREZA EXTREMA</v>
      </c>
      <c r="D92" s="103">
        <f>+'PLAN DE DESARROLLO 2024 - 2027'!M44</f>
        <v>0.55444444444444452</v>
      </c>
      <c r="E92" s="117">
        <f>+'PLAN DE DESARROLLO 2024 - 2027'!K44</f>
        <v>0.58472222222222225</v>
      </c>
    </row>
    <row r="93" spans="3:6" ht="43.2" x14ac:dyDescent="0.3">
      <c r="C93" s="86" t="str">
        <f>+'PLAN DE DESARROLLO 2024 - 2027'!B45</f>
        <v xml:space="preserve"> FORTALECIMIENTO INSTITUCIONAL DE RENTA CIUDADANA, RENTA JOVEN Y COLOMBIA MAYOR PARA LA SUPERACIÓN DE LA POBREZA EXTREMA</v>
      </c>
      <c r="D93" s="103">
        <f>+'PLAN DE DESARROLLO 2024 - 2027'!M45</f>
        <v>0.71250000000000002</v>
      </c>
      <c r="E93" s="117">
        <f>+'PLAN DE DESARROLLO 2024 - 2027'!K45</f>
        <v>0.76041666666666674</v>
      </c>
    </row>
    <row r="95" spans="3:6" x14ac:dyDescent="0.3">
      <c r="E95"/>
    </row>
    <row r="96" spans="3:6" ht="75.599999999999994" customHeight="1" x14ac:dyDescent="0.3">
      <c r="C96" s="10"/>
      <c r="D96" s="783" t="s">
        <v>2514</v>
      </c>
      <c r="E96"/>
    </row>
    <row r="97" spans="3:5" ht="36" x14ac:dyDescent="0.35">
      <c r="C97" s="89" t="str">
        <f t="shared" ref="C97:C102" si="1">+C5</f>
        <v xml:space="preserve"> SEGURIDAD HUMANA
</v>
      </c>
      <c r="D97" s="1282">
        <f>+'PLAN DE DESARROLLO 2024 - 2027'!I4</f>
        <v>0.8432679950416061</v>
      </c>
      <c r="E97"/>
    </row>
    <row r="98" spans="3:5" x14ac:dyDescent="0.3">
      <c r="C98" s="10" t="str">
        <f t="shared" si="1"/>
        <v xml:space="preserve"> Seguridad Ciudadana y Orden Público 
</v>
      </c>
      <c r="D98" s="1053">
        <f>+'PLAN DE DESARROLLO 2024 - 2027'!I5</f>
        <v>0.77851983833052174</v>
      </c>
      <c r="E98"/>
    </row>
    <row r="99" spans="3:5" x14ac:dyDescent="0.3">
      <c r="C99" s="10" t="str">
        <f t="shared" si="1"/>
        <v xml:space="preserve">Construccion de paz, Derechos Humanos y Convivencia
</v>
      </c>
      <c r="D99" s="1053">
        <f>+'PLAN DE DESARROLLO 2024 - 2027'!I11</f>
        <v>0.82692475233100227</v>
      </c>
      <c r="E99"/>
    </row>
    <row r="100" spans="3:5" x14ac:dyDescent="0.3">
      <c r="C100" s="10" t="str">
        <f t="shared" si="1"/>
        <v xml:space="preserve"> Salud Pública y Aseguramiento
</v>
      </c>
      <c r="D100" s="1053">
        <f>+'PLAN DE DESARROLLO 2024 - 2027'!I20</f>
        <v>0.88713331914538984</v>
      </c>
      <c r="E100"/>
    </row>
    <row r="101" spans="3:5" x14ac:dyDescent="0.3">
      <c r="C101" s="10" t="str">
        <f t="shared" si="1"/>
        <v xml:space="preserve">Atención Integral a Grupos de Especial Protección
</v>
      </c>
      <c r="D101" s="918">
        <f>+'PLAN DE DESARROLLO 2024 - 2027'!I26</f>
        <v>0.93408960568490651</v>
      </c>
      <c r="E101"/>
    </row>
    <row r="102" spans="3:5" x14ac:dyDescent="0.3">
      <c r="C102" s="10" t="str">
        <f t="shared" si="1"/>
        <v xml:space="preserve">Superación de la pobreza extrema y soberanía alimentaria
</v>
      </c>
      <c r="D102" s="1053">
        <f>+'PLAN DE DESARROLLO 2024 - 2027'!I34</f>
        <v>0.78967245971620981</v>
      </c>
      <c r="E102"/>
    </row>
    <row r="103" spans="3:5" x14ac:dyDescent="0.3">
      <c r="E103"/>
    </row>
    <row r="104" spans="3:5" x14ac:dyDescent="0.3">
      <c r="E104"/>
    </row>
    <row r="110" spans="3:5" x14ac:dyDescent="0.3">
      <c r="E110"/>
    </row>
    <row r="111" spans="3:5" x14ac:dyDescent="0.3">
      <c r="E111"/>
    </row>
    <row r="112" spans="3:5" x14ac:dyDescent="0.3">
      <c r="E112"/>
    </row>
    <row r="113" spans="3:5" x14ac:dyDescent="0.3">
      <c r="E113"/>
    </row>
    <row r="114" spans="3:5" x14ac:dyDescent="0.3">
      <c r="E114"/>
    </row>
    <row r="115" spans="3:5" x14ac:dyDescent="0.3">
      <c r="E115"/>
    </row>
    <row r="116" spans="3:5" x14ac:dyDescent="0.3">
      <c r="E116"/>
    </row>
    <row r="117" spans="3:5" x14ac:dyDescent="0.3">
      <c r="E117"/>
    </row>
    <row r="118" spans="3:5" x14ac:dyDescent="0.3">
      <c r="E118"/>
    </row>
    <row r="119" spans="3:5" ht="15" customHeight="1" x14ac:dyDescent="0.3">
      <c r="E119"/>
    </row>
    <row r="120" spans="3:5" x14ac:dyDescent="0.3">
      <c r="E120"/>
    </row>
    <row r="121" spans="3:5" ht="32.4" customHeight="1" x14ac:dyDescent="0.3">
      <c r="E121"/>
    </row>
    <row r="122" spans="3:5" ht="32.4" customHeight="1" x14ac:dyDescent="0.3">
      <c r="E122"/>
    </row>
    <row r="123" spans="3:5" ht="29.4" customHeight="1" x14ac:dyDescent="0.3">
      <c r="E123"/>
    </row>
    <row r="124" spans="3:5" x14ac:dyDescent="0.3">
      <c r="C124" s="1439" t="s">
        <v>1844</v>
      </c>
      <c r="D124" s="1439"/>
      <c r="E124" s="1439"/>
    </row>
    <row r="125" spans="3:5" x14ac:dyDescent="0.3">
      <c r="C125" s="1439"/>
      <c r="D125" s="1439"/>
      <c r="E125" s="1439"/>
    </row>
    <row r="126" spans="3:5" ht="60" customHeight="1" x14ac:dyDescent="0.3">
      <c r="C126" s="120" t="s">
        <v>2269</v>
      </c>
      <c r="D126" s="90" t="s">
        <v>2515</v>
      </c>
      <c r="E126" s="119" t="s">
        <v>1586</v>
      </c>
    </row>
    <row r="127" spans="3:5" ht="36" customHeight="1" x14ac:dyDescent="0.3">
      <c r="C127" s="1054" t="s">
        <v>1635</v>
      </c>
      <c r="D127" s="126">
        <f>+E86</f>
        <v>2.5000000000000001E-2</v>
      </c>
      <c r="E127" s="1055" t="s">
        <v>2336</v>
      </c>
    </row>
    <row r="128" spans="3:5" ht="58.8" customHeight="1" x14ac:dyDescent="0.3">
      <c r="C128" s="1054" t="s">
        <v>1623</v>
      </c>
      <c r="D128" s="126">
        <f>+E88</f>
        <v>8.5058333333333333E-2</v>
      </c>
      <c r="E128" s="1055" t="s">
        <v>2336</v>
      </c>
    </row>
    <row r="129" spans="5:5" x14ac:dyDescent="0.3">
      <c r="E129"/>
    </row>
    <row r="130" spans="5:5" x14ac:dyDescent="0.3">
      <c r="E130"/>
    </row>
  </sheetData>
  <sheetProtection password="DF7C" sheet="1" objects="1" scenarios="1"/>
  <mergeCells count="3">
    <mergeCell ref="Q2:S3"/>
    <mergeCell ref="C2:F3"/>
    <mergeCell ref="C124:E12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2:O153"/>
  <sheetViews>
    <sheetView zoomScale="50" zoomScaleNormal="50" workbookViewId="0">
      <selection activeCell="J53" sqref="J53"/>
    </sheetView>
  </sheetViews>
  <sheetFormatPr baseColWidth="10" defaultRowHeight="14.4" x14ac:dyDescent="0.3"/>
  <cols>
    <col min="3" max="3" width="58.6640625" customWidth="1"/>
    <col min="4" max="4" width="44.88671875" customWidth="1"/>
    <col min="5" max="5" width="56.33203125" customWidth="1"/>
    <col min="6" max="6" width="43.109375" customWidth="1"/>
    <col min="7" max="7" width="60" customWidth="1"/>
    <col min="8" max="8" width="29.33203125" customWidth="1"/>
    <col min="9" max="9" width="42.6640625" customWidth="1"/>
    <col min="13" max="13" width="41.5546875" customWidth="1"/>
    <col min="14" max="14" width="40.33203125" customWidth="1"/>
    <col min="15" max="15" width="40" customWidth="1"/>
  </cols>
  <sheetData>
    <row r="2" spans="3:15" ht="14.4" customHeight="1" x14ac:dyDescent="0.3">
      <c r="C2" s="1446" t="s">
        <v>2516</v>
      </c>
      <c r="D2" s="1447"/>
      <c r="E2" s="1447"/>
      <c r="F2" s="1448"/>
    </row>
    <row r="3" spans="3:15" ht="51.6" customHeight="1" x14ac:dyDescent="0.3">
      <c r="C3" s="1449"/>
      <c r="D3" s="1450"/>
      <c r="E3" s="1450"/>
      <c r="F3" s="1451"/>
      <c r="M3" s="1440" t="s">
        <v>2517</v>
      </c>
      <c r="N3" s="1441"/>
      <c r="O3" s="1442"/>
    </row>
    <row r="4" spans="3:15" ht="57.6" customHeight="1" x14ac:dyDescent="0.3">
      <c r="C4" s="84"/>
      <c r="D4" s="784" t="s">
        <v>1987</v>
      </c>
      <c r="E4" s="784" t="s">
        <v>2518</v>
      </c>
      <c r="F4" s="784" t="s">
        <v>1988</v>
      </c>
      <c r="M4" s="1443"/>
      <c r="N4" s="1444"/>
      <c r="O4" s="1445"/>
    </row>
    <row r="5" spans="3:15" ht="55.95" customHeight="1" x14ac:dyDescent="0.35">
      <c r="C5" s="83" t="str">
        <f>+'PLAN DE DESARROLLO 2024 - 2027'!B46</f>
        <v xml:space="preserve"> VIDA DIGNA
</v>
      </c>
      <c r="D5" s="116">
        <f>+'PLAN DE DESARROLLO 2024 - 2027'!F46</f>
        <v>0.51473719808474006</v>
      </c>
      <c r="E5" s="117">
        <f>+'PLAN DE DESARROLLO 2024 - 2027'!K46</f>
        <v>0.5127485650474547</v>
      </c>
      <c r="F5" s="128">
        <v>0.22389547133016827</v>
      </c>
      <c r="M5" s="84"/>
      <c r="N5" s="85" t="s">
        <v>1989</v>
      </c>
      <c r="O5" s="85" t="s">
        <v>2519</v>
      </c>
    </row>
    <row r="6" spans="3:15" ht="18" x14ac:dyDescent="0.35">
      <c r="C6" s="10" t="str">
        <f>+'PLAN DE DESARROLLO 2024 - 2027'!B47</f>
        <v xml:space="preserve"> Educación
</v>
      </c>
      <c r="D6" s="103">
        <f>+'PLAN DE DESARROLLO 2024 - 2027'!F47</f>
        <v>0.47305009896863803</v>
      </c>
      <c r="E6" s="113">
        <f>+'PLAN DE DESARROLLO 2024 - 2027'!K47</f>
        <v>0.50550379134463475</v>
      </c>
      <c r="F6" s="129">
        <v>0.21288627727196741</v>
      </c>
      <c r="M6" s="83" t="str">
        <f t="shared" ref="M6:M12" si="0">+C5</f>
        <v xml:space="preserve"> VIDA DIGNA
</v>
      </c>
      <c r="N6" s="116">
        <f>+'PLAN DE DESARROLLO 2024 - 2027'!G46+'PLAN DE DESARROLLO 2024 - 2027'!H46</f>
        <v>0.45582355138628688</v>
      </c>
      <c r="O6" s="116">
        <f>+'PLAN DE DESARROLLO 2024 - 2027'!M46</f>
        <v>0.48090129462939524</v>
      </c>
    </row>
    <row r="7" spans="3:15" x14ac:dyDescent="0.3">
      <c r="C7" s="10" t="str">
        <f>+'PLAN DE DESARROLLO 2024 - 2027'!B64</f>
        <v xml:space="preserve"> Acceso a Servicios Básicos
</v>
      </c>
      <c r="D7" s="103">
        <f>+'PLAN DE DESARROLLO 2024 - 2027'!F64</f>
        <v>0.4942397664731964</v>
      </c>
      <c r="E7" s="1056">
        <f>+'PLAN DE DESARROLLO 2024 - 2027'!K64</f>
        <v>0.36954161861032914</v>
      </c>
      <c r="F7" s="129">
        <v>0.1332971286782689</v>
      </c>
      <c r="M7" s="10" t="str">
        <f t="shared" si="0"/>
        <v xml:space="preserve"> Educación
</v>
      </c>
      <c r="N7" s="103">
        <f>+'PLAN DE DESARROLLO 2024 - 2027'!G47+'PLAN DE DESARROLLO 2024 - 2027'!H47</f>
        <v>0.52231078202059211</v>
      </c>
      <c r="O7" s="103">
        <f>+'PLAN DE DESARROLLO 2024 - 2027'!M47</f>
        <v>0.44645446238331843</v>
      </c>
    </row>
    <row r="8" spans="3:15" x14ac:dyDescent="0.3">
      <c r="C8" s="10" t="str">
        <f>+'PLAN DE DESARROLLO 2024 - 2027'!B68</f>
        <v xml:space="preserve"> Vivienda Digna y Hábitat
</v>
      </c>
      <c r="D8" s="103">
        <f>+'PLAN DE DESARROLLO 2024 - 2027'!F68</f>
        <v>0.29275669934640519</v>
      </c>
      <c r="E8" s="943">
        <f>+'PLAN DE DESARROLLO 2024 - 2027'!K68</f>
        <v>0.2397588235294118</v>
      </c>
      <c r="F8" s="129">
        <v>0.14324852941176469</v>
      </c>
      <c r="M8" s="92" t="str">
        <f t="shared" si="0"/>
        <v xml:space="preserve"> Acceso a Servicios Básicos
</v>
      </c>
      <c r="N8" s="103">
        <f>+'PLAN DE DESARROLLO 2024 - 2027'!G64+'PLAN DE DESARROLLO 2024 - 2027'!H64</f>
        <v>0.33422682157751127</v>
      </c>
      <c r="O8" s="103">
        <f>+'PLAN DE DESARROLLO 2024 - 2027'!M64</f>
        <v>0.34878279505494242</v>
      </c>
    </row>
    <row r="9" spans="3:15" x14ac:dyDescent="0.3">
      <c r="C9" s="10" t="str">
        <f>+'PLAN DE DESARROLLO 2024 - 2027'!B73</f>
        <v xml:space="preserve">Artes, Cultura y Patrimonio
</v>
      </c>
      <c r="D9" s="103">
        <f>+'PLAN DE DESARROLLO 2024 - 2027'!F73</f>
        <v>0.6175572285863945</v>
      </c>
      <c r="E9" s="113">
        <f>+'PLAN DE DESARROLLO 2024 - 2027'!K73</f>
        <v>0.67944991280412703</v>
      </c>
      <c r="F9" s="129">
        <v>0.24864012602929381</v>
      </c>
      <c r="M9" s="10" t="str">
        <f t="shared" si="0"/>
        <v xml:space="preserve"> Vivienda Digna y Hábitat
</v>
      </c>
      <c r="N9" s="103">
        <f>+'PLAN DE DESARROLLO 2024 - 2027'!G68+'PLAN DE DESARROLLO 2024 - 2027'!H68</f>
        <v>0.32045196078431371</v>
      </c>
      <c r="O9" s="103">
        <f>+'PLAN DE DESARROLLO 2024 - 2027'!M68</f>
        <v>0.22248258823529413</v>
      </c>
    </row>
    <row r="10" spans="3:15" x14ac:dyDescent="0.3">
      <c r="C10" s="10" t="str">
        <f>+'PLAN DE DESARROLLO 2024 - 2027'!B80</f>
        <v xml:space="preserve">Deporte y Recreación
</v>
      </c>
      <c r="D10" s="103">
        <f>+'PLAN DE DESARROLLO 2024 - 2027'!F80</f>
        <v>0.5512547869858142</v>
      </c>
      <c r="E10" s="113">
        <f>+'PLAN DE DESARROLLO 2024 - 2027'!K80</f>
        <v>0.58130025930285478</v>
      </c>
      <c r="F10" s="129">
        <v>0.26532184592777297</v>
      </c>
      <c r="M10" s="10" t="str">
        <f t="shared" si="0"/>
        <v xml:space="preserve">Artes, Cultura y Patrimonio
</v>
      </c>
      <c r="N10" s="103">
        <f>+'PLAN DE DESARROLLO 2024 - 2027'!G73+'PLAN DE DESARROLLO 2024 - 2027'!H73</f>
        <v>0.66691442644710563</v>
      </c>
      <c r="O10" s="103">
        <f>+'PLAN DE DESARROLLO 2024 - 2027'!M73</f>
        <v>0.53503946200167696</v>
      </c>
    </row>
    <row r="11" spans="3:15" x14ac:dyDescent="0.3">
      <c r="C11" s="10" t="str">
        <f>+'PLAN DE DESARROLLO 2024 - 2027'!B88</f>
        <v xml:space="preserve"> Infancia, Adolescencia y Familia
</v>
      </c>
      <c r="D11" s="103">
        <f>+'PLAN DE DESARROLLO 2024 - 2027'!F88</f>
        <v>0.65956460814799245</v>
      </c>
      <c r="E11" s="113">
        <f>+'PLAN DE DESARROLLO 2024 - 2027'!K88</f>
        <v>0.70093698469337029</v>
      </c>
      <c r="F11" s="129">
        <v>0.33997892066194169</v>
      </c>
      <c r="M11" s="10" t="str">
        <f t="shared" si="0"/>
        <v xml:space="preserve">Deporte y Recreación
</v>
      </c>
      <c r="N11" s="103">
        <f>+'PLAN DE DESARROLLO 2024 - 2027'!G80+'PLAN DE DESARROLLO 2024 - 2027'!H80</f>
        <v>0.51072814095047869</v>
      </c>
      <c r="O11" s="103">
        <f>+'PLAN DE DESARROLLO 2024 - 2027'!M80</f>
        <v>0.50415658631572002</v>
      </c>
    </row>
    <row r="12" spans="3:15" x14ac:dyDescent="0.3">
      <c r="M12" s="10" t="str">
        <f t="shared" si="0"/>
        <v xml:space="preserve"> Infancia, Adolescencia y Familia
</v>
      </c>
      <c r="N12" s="103">
        <f>+'PLAN DE DESARROLLO 2024 - 2027'!G88+'PLAN DE DESARROLLO 2024 - 2027'!H88</f>
        <v>0.46651797413887564</v>
      </c>
      <c r="O12" s="103">
        <f>+'PLAN DE DESARROLLO 2024 - 2027'!M88</f>
        <v>0.7250078734798705</v>
      </c>
    </row>
    <row r="33" spans="3:7" x14ac:dyDescent="0.3">
      <c r="G33" t="s">
        <v>1585</v>
      </c>
    </row>
    <row r="34" spans="3:7" ht="34.950000000000003" customHeight="1" x14ac:dyDescent="0.3"/>
    <row r="36" spans="3:7" ht="50.4" customHeight="1" x14ac:dyDescent="0.3">
      <c r="C36" s="10"/>
      <c r="D36" s="85" t="s">
        <v>2520</v>
      </c>
      <c r="E36" s="783" t="s">
        <v>2521</v>
      </c>
    </row>
    <row r="37" spans="3:7" ht="18" x14ac:dyDescent="0.35">
      <c r="C37" s="80" t="str">
        <f>+M7</f>
        <v xml:space="preserve"> Educación
</v>
      </c>
      <c r="D37" s="785">
        <f>+O7</f>
        <v>0.44645446238331843</v>
      </c>
      <c r="E37" s="1057">
        <f>+'PLAN DE DESARROLLO 2024 - 2027'!K47</f>
        <v>0.50550379134463475</v>
      </c>
      <c r="F37" s="787"/>
    </row>
    <row r="38" spans="3:7" ht="28.95" customHeight="1" x14ac:dyDescent="0.3">
      <c r="C38" s="87" t="str">
        <f>+'PLAN DE DESARROLLO 2024 - 2027'!B48</f>
        <v xml:space="preserve"> MODERNIZACIÓN DE LA INFRAESTRUCTURA EDUCATIVA</v>
      </c>
      <c r="D38" s="107">
        <f>+'PLAN DE DESARROLLO 2024 - 2027'!M48</f>
        <v>0.34426666666666667</v>
      </c>
      <c r="E38" s="125">
        <f>+'PLAN DE DESARROLLO 2024 - 2027'!K48</f>
        <v>0.29002777777777777</v>
      </c>
      <c r="F38" s="787"/>
    </row>
    <row r="39" spans="3:7" ht="15" customHeight="1" x14ac:dyDescent="0.3">
      <c r="C39" s="87" t="str">
        <f>+'PLAN DE DESARROLLO 2024 - 2027'!B49</f>
        <v xml:space="preserve"> AVANZANDO DESDE EL COMIENZO</v>
      </c>
      <c r="D39" s="107">
        <f>+'PLAN DE DESARROLLO 2024 - 2027'!M49</f>
        <v>0.58452380952380956</v>
      </c>
      <c r="E39" s="123">
        <f>+'PLAN DE DESARROLLO 2024 - 2027'!K49</f>
        <v>0.57440476190476186</v>
      </c>
      <c r="F39" s="787"/>
    </row>
    <row r="40" spans="3:7" ht="15" customHeight="1" x14ac:dyDescent="0.3">
      <c r="C40" s="87" t="str">
        <f>+'PLAN DE DESARROLLO 2024 - 2027'!B50</f>
        <v xml:space="preserve"> ME QUEDO PORQUE ME QUEDO</v>
      </c>
      <c r="D40" s="107">
        <f>+'PLAN DE DESARROLLO 2024 - 2027'!M50</f>
        <v>0.43835776173121815</v>
      </c>
      <c r="E40" s="1058">
        <f>+'PLAN DE DESARROLLO 2024 - 2027'!K50</f>
        <v>0.39804672808783126</v>
      </c>
      <c r="F40" s="787"/>
    </row>
    <row r="41" spans="3:7" ht="15" customHeight="1" x14ac:dyDescent="0.3">
      <c r="C41" s="87" t="str">
        <f>+'PLAN DE DESARROLLO 2024 - 2027'!B51</f>
        <v xml:space="preserve"> YO CUENTO</v>
      </c>
      <c r="D41" s="107">
        <f>+'PLAN DE DESARROLLO 2024 - 2027'!M51</f>
        <v>0.56458837430636211</v>
      </c>
      <c r="E41" s="123">
        <f>+'PLAN DE DESARROLLO 2024 - 2027'!K51</f>
        <v>0.54770158822336523</v>
      </c>
      <c r="F41" s="787"/>
    </row>
    <row r="42" spans="3:7" ht="27.6" customHeight="1" x14ac:dyDescent="0.3">
      <c r="C42" s="87" t="str">
        <f>+'PLAN DE DESARROLLO 2024 - 2027'!B52</f>
        <v xml:space="preserve"> ESCUELA HOGAR</v>
      </c>
      <c r="D42" s="107">
        <f>+'PLAN DE DESARROLLO 2024 - 2027'!M52</f>
        <v>0.80359971487406945</v>
      </c>
      <c r="E42" s="123">
        <f>+'PLAN DE DESARROLLO 2024 - 2027'!K52</f>
        <v>0.78257167749089174</v>
      </c>
      <c r="F42" s="787"/>
    </row>
    <row r="43" spans="3:7" ht="39" customHeight="1" x14ac:dyDescent="0.3">
      <c r="C43" s="87" t="str">
        <f>+'PLAN DE DESARROLLO 2024 - 2027'!B53</f>
        <v xml:space="preserve"> CARTAGENA TERRITORIO PLURILINGÜE</v>
      </c>
      <c r="D43" s="107">
        <f>+'PLAN DE DESARROLLO 2024 - 2027'!M53</f>
        <v>0.71393939393939398</v>
      </c>
      <c r="E43" s="123">
        <f>+'PLAN DE DESARROLLO 2024 - 2027'!K53</f>
        <v>0.64242424242424245</v>
      </c>
      <c r="F43" s="787"/>
    </row>
    <row r="44" spans="3:7" ht="15" customHeight="1" x14ac:dyDescent="0.3">
      <c r="C44" s="87" t="str">
        <f>+'PLAN DE DESARROLLO 2024 - 2027'!B54</f>
        <v xml:space="preserve"> CARTAGENA MEJOR EDUCADA</v>
      </c>
      <c r="D44" s="107">
        <f>+'PLAN DE DESARROLLO 2024 - 2027'!M54</f>
        <v>0.57991048593350381</v>
      </c>
      <c r="E44" s="123">
        <f>+'PLAN DE DESARROLLO 2024 - 2027'!K54</f>
        <v>0.7199403239556692</v>
      </c>
      <c r="F44" s="787"/>
    </row>
    <row r="45" spans="3:7" ht="33" customHeight="1" x14ac:dyDescent="0.3">
      <c r="C45" s="87" t="str">
        <f>+'PLAN DE DESARROLLO 2024 - 2027'!B55</f>
        <v xml:space="preserve"> LEVANTEMOS LA VOZ</v>
      </c>
      <c r="D45" s="107">
        <f>+'PLAN DE DESARROLLO 2024 - 2027'!M55</f>
        <v>0.44778401496925957</v>
      </c>
      <c r="E45" s="123">
        <f>+'PLAN DE DESARROLLO 2024 - 2027'!K55</f>
        <v>0.51906442127773322</v>
      </c>
      <c r="F45" s="787"/>
    </row>
    <row r="46" spans="3:7" ht="33" customHeight="1" x14ac:dyDescent="0.3">
      <c r="C46" s="87" t="s">
        <v>1990</v>
      </c>
      <c r="D46" s="107">
        <f>+'PLAN DE DESARROLLO 2024 - 2027'!M56</f>
        <v>0.33333333333333331</v>
      </c>
      <c r="E46" s="125">
        <f>+'PLAN DE DESARROLLO 2024 - 2027'!K56</f>
        <v>0.33333333333333331</v>
      </c>
      <c r="F46" s="787"/>
    </row>
    <row r="47" spans="3:7" ht="29.4" customHeight="1" x14ac:dyDescent="0.3">
      <c r="C47" s="87" t="str">
        <f>+'PLAN DE DESARROLLO 2024 - 2027'!B57</f>
        <v xml:space="preserve"> FORMACIÓN Y CUALIFICACIÓN DE DOCENTES Y DIRECTIVOS DOCENTES</v>
      </c>
      <c r="D47" s="107">
        <f>+'PLAN DE DESARROLLO 2024 - 2027'!M57</f>
        <v>0.84124999999999994</v>
      </c>
      <c r="E47" s="123">
        <f>+'PLAN DE DESARROLLO 2024 - 2027'!K57</f>
        <v>0.77749999999999997</v>
      </c>
      <c r="F47" s="787"/>
    </row>
    <row r="48" spans="3:7" ht="28.95" customHeight="1" x14ac:dyDescent="0.3">
      <c r="C48" s="87" t="str">
        <f>+'PLAN DE DESARROLLO 2024 - 2027'!B58</f>
        <v xml:space="preserve"> FORTALECIMIENTO DE LA GESTIÓN ESCOLAR EN LAS INSTITUCIONES EDUCATIVAS OFICIALES</v>
      </c>
      <c r="D48" s="107">
        <f>+'PLAN DE DESARROLLO 2024 - 2027'!M58</f>
        <v>0.47887850467289728</v>
      </c>
      <c r="E48" s="1058">
        <f>+'PLAN DE DESARROLLO 2024 - 2027'!K58</f>
        <v>0.37258566978193147</v>
      </c>
      <c r="F48" s="787"/>
    </row>
    <row r="49" spans="3:6" ht="27" customHeight="1" x14ac:dyDescent="0.3">
      <c r="C49" s="87" t="str">
        <f>+'PLAN DE DESARROLLO 2024 - 2027'!B59</f>
        <v xml:space="preserve"> UNIDOS POR EL SUEÑO SUPERIOR</v>
      </c>
      <c r="D49" s="107">
        <f>+'PLAN DE DESARROLLO 2024 - 2027'!M59</f>
        <v>0.30288872549019608</v>
      </c>
      <c r="E49" s="125">
        <f>+'PLAN DE DESARROLLO 2024 - 2027'!K59</f>
        <v>0.31358053221288518</v>
      </c>
      <c r="F49" s="787"/>
    </row>
    <row r="50" spans="3:6" ht="36.6" customHeight="1" x14ac:dyDescent="0.3">
      <c r="C50" s="87" t="str">
        <f>+'PLAN DE DESARROLLO 2024 - 2027'!B60</f>
        <v xml:space="preserve"> AVANZAMOS EN EL FORTALECIMIENTO INSTITUCIONAL DE LA SECRETARÍA DE EDUCACIÓN</v>
      </c>
      <c r="D50" s="107">
        <f>+'PLAN DE DESARROLLO 2024 - 2027'!M60</f>
        <v>0.46981842105263161</v>
      </c>
      <c r="E50" s="1058">
        <f>+'PLAN DE DESARROLLO 2024 - 2027'!K60</f>
        <v>0.43584210526315786</v>
      </c>
      <c r="F50" s="787"/>
    </row>
    <row r="51" spans="3:6" ht="32.4" customHeight="1" x14ac:dyDescent="0.3">
      <c r="C51" s="87" t="str">
        <f>+'PLAN DE DESARROLLO 2024 - 2027'!B61</f>
        <v xml:space="preserve"> CARTAGENA, TERRITORIO DIGITAL</v>
      </c>
      <c r="D51" s="107">
        <f>+'PLAN DE DESARROLLO 2024 - 2027'!M61</f>
        <v>0.4882352941176471</v>
      </c>
      <c r="E51" s="123">
        <f>+'PLAN DE DESARROLLO 2024 - 2027'!K61</f>
        <v>0.51470588235294124</v>
      </c>
      <c r="F51" s="787"/>
    </row>
    <row r="52" spans="3:6" ht="30" customHeight="1" x14ac:dyDescent="0.3">
      <c r="C52" s="87" t="str">
        <f>+'PLAN DE DESARROLLO 2024 - 2027'!B62</f>
        <v xml:space="preserve"> OFERTA ACADÉMICA SUPERIOR CON CALIDAD</v>
      </c>
      <c r="D52" s="107">
        <f>+'PLAN DE DESARROLLO 2024 - 2027'!M62</f>
        <v>9.6897940913160258E-2</v>
      </c>
      <c r="E52" s="124">
        <f>+'PLAN DE DESARROLLO 2024 - 2027'!K62</f>
        <v>0.10991495076096687</v>
      </c>
      <c r="F52" s="787"/>
    </row>
    <row r="53" spans="3:6" ht="28.8" customHeight="1" x14ac:dyDescent="0.3">
      <c r="C53" s="87" t="str">
        <f>+'PLAN DE DESARROLLO 2024 - 2027'!B63</f>
        <v xml:space="preserve"> FORMACIÓN TÉCNICA Y COMPLEMENTARIA EN OFICIOS</v>
      </c>
      <c r="D53" s="107">
        <f>+'PLAN DE DESARROLLO 2024 - 2027'!M63</f>
        <v>0.70870833333333327</v>
      </c>
      <c r="E53" s="123">
        <f>+'PLAN DE DESARROLLO 2024 - 2027'!K63</f>
        <v>0.75641666666666663</v>
      </c>
      <c r="F53" s="788"/>
    </row>
    <row r="54" spans="3:6" ht="54" customHeight="1" x14ac:dyDescent="0.3">
      <c r="F54" s="787"/>
    </row>
    <row r="56" spans="3:6" ht="46.95" customHeight="1" x14ac:dyDescent="0.3">
      <c r="C56" s="10"/>
      <c r="D56" s="85" t="s">
        <v>2520</v>
      </c>
      <c r="E56" s="783" t="s">
        <v>2522</v>
      </c>
    </row>
    <row r="57" spans="3:6" ht="36" x14ac:dyDescent="0.35">
      <c r="C57" s="89" t="str">
        <f>+'PLAN DE DESARROLLO 2024 - 2027'!B64</f>
        <v xml:space="preserve"> Acceso a Servicios Básicos
</v>
      </c>
      <c r="D57" s="782">
        <f>+O8</f>
        <v>0.34878279505494242</v>
      </c>
      <c r="E57" s="1051">
        <f>+'PLAN DE DESARROLLO 2024 - 2027'!K64</f>
        <v>0.36954161861032914</v>
      </c>
    </row>
    <row r="58" spans="3:6" ht="36" customHeight="1" x14ac:dyDescent="0.3">
      <c r="C58" s="87" t="str">
        <f>+'PLAN DE DESARROLLO 2024 - 2027'!B65</f>
        <v xml:space="preserve"> ACCESO AL AGUA POTABLE Y SANEAMIENTO BÁSICO</v>
      </c>
      <c r="D58" s="103">
        <f>+'PLAN DE DESARROLLO 2024 - 2027'!M65</f>
        <v>0.42700370015697831</v>
      </c>
      <c r="E58" s="113">
        <f>+'PLAN DE DESARROLLO 2024 - 2027'!K65</f>
        <v>0.49420600662463821</v>
      </c>
    </row>
    <row r="59" spans="3:6" ht="28.95" customHeight="1" x14ac:dyDescent="0.3">
      <c r="C59" s="87" t="str">
        <f>+'PLAN DE DESARROLLO 2024 - 2027'!B66</f>
        <v xml:space="preserve"> AVANZAMOS POR UNA CARTAGENA ILUMINADA Y LA TRANSICIÓN ENERGÉTICA</v>
      </c>
      <c r="D59" s="103">
        <f>+'PLAN DE DESARROLLO 2024 - 2027'!M66</f>
        <v>0.26678571428571429</v>
      </c>
      <c r="E59" s="114">
        <f>+'PLAN DE DESARROLLO 2024 - 2027'!K66</f>
        <v>0.28676190476190477</v>
      </c>
    </row>
    <row r="60" spans="3:6" ht="30.6" customHeight="1" x14ac:dyDescent="0.3">
      <c r="C60" s="87" t="str">
        <f>+'PLAN DE DESARROLLO 2024 - 2027'!B67</f>
        <v xml:space="preserve"> UNIDOS POR LA GESTIÓN DE LOS RESIDUOS Y EL DESARROLLO SOSTENIBLE</v>
      </c>
      <c r="D60" s="103">
        <f>+'PLAN DE DESARROLLO 2024 - 2027'!M67</f>
        <v>0.35318833333333338</v>
      </c>
      <c r="E60" s="125">
        <f>+'PLAN DE DESARROLLO 2024 - 2027'!K67</f>
        <v>0.32765694444444443</v>
      </c>
    </row>
    <row r="61" spans="3:6" x14ac:dyDescent="0.3">
      <c r="C61" s="93"/>
      <c r="D61" s="105"/>
      <c r="E61" s="105"/>
    </row>
    <row r="62" spans="3:6" x14ac:dyDescent="0.3">
      <c r="C62" s="93"/>
      <c r="D62" s="105"/>
      <c r="E62" s="105"/>
    </row>
    <row r="63" spans="3:6" x14ac:dyDescent="0.3">
      <c r="C63" s="93"/>
      <c r="D63" s="105"/>
      <c r="E63" s="105"/>
    </row>
    <row r="64" spans="3:6" x14ac:dyDescent="0.3">
      <c r="C64" s="93"/>
      <c r="D64" s="105"/>
      <c r="E64" s="105"/>
    </row>
    <row r="65" spans="3:6" x14ac:dyDescent="0.3">
      <c r="C65" s="93"/>
      <c r="D65" s="105"/>
      <c r="E65" s="105"/>
    </row>
    <row r="66" spans="3:6" x14ac:dyDescent="0.3">
      <c r="D66" s="105"/>
      <c r="E66" s="105"/>
    </row>
    <row r="71" spans="3:6" ht="55.2" customHeight="1" x14ac:dyDescent="0.3">
      <c r="C71" s="10"/>
      <c r="D71" s="85" t="s">
        <v>2520</v>
      </c>
      <c r="E71" s="783" t="s">
        <v>2523</v>
      </c>
    </row>
    <row r="72" spans="3:6" ht="69" customHeight="1" x14ac:dyDescent="0.35">
      <c r="C72" s="89" t="str">
        <f>+'PLAN DE DESARROLLO 2024 - 2027'!B68</f>
        <v xml:space="preserve"> Vivienda Digna y Hábitat
</v>
      </c>
      <c r="D72" s="782">
        <f>+O9</f>
        <v>0.22248258823529413</v>
      </c>
      <c r="E72" s="963">
        <f>+'PLAN DE DESARROLLO 2024 - 2027'!K68</f>
        <v>0.2397588235294118</v>
      </c>
    </row>
    <row r="73" spans="3:6" x14ac:dyDescent="0.3">
      <c r="C73" s="87" t="str">
        <f>+'PLAN DE DESARROLLO 2024 - 2027'!B69</f>
        <v xml:space="preserve"> UNIDOS POR UNA VIVIENDA PARA TI</v>
      </c>
      <c r="D73" s="103">
        <f>+'PLAN DE DESARROLLO 2024 - 2027'!M69</f>
        <v>8.6300000000000002E-2</v>
      </c>
      <c r="E73" s="115">
        <f>+'PLAN DE DESARROLLO 2024 - 2027'!K69</f>
        <v>8.6300000000000002E-2</v>
      </c>
    </row>
    <row r="74" spans="3:6" ht="24.6" customHeight="1" x14ac:dyDescent="0.3">
      <c r="C74" s="87" t="str">
        <f>+'PLAN DE DESARROLLO 2024 - 2027'!B70</f>
        <v xml:space="preserve"> MI CASA AVANZA</v>
      </c>
      <c r="D74" s="103">
        <f>+'PLAN DE DESARROLLO 2024 - 2027'!M70</f>
        <v>0.28556862745098038</v>
      </c>
      <c r="E74" s="114">
        <f>+'PLAN DE DESARROLLO 2024 - 2027'!K70</f>
        <v>0.28556862745098038</v>
      </c>
    </row>
    <row r="75" spans="3:6" x14ac:dyDescent="0.3">
      <c r="C75" s="87" t="str">
        <f>+'PLAN DE DESARROLLO 2024 - 2027'!B71</f>
        <v xml:space="preserve"> MI CASA CON PROPIEDAD</v>
      </c>
      <c r="D75" s="103">
        <f>+'PLAN DE DESARROLLO 2024 - 2027'!M71</f>
        <v>0.29360000000000003</v>
      </c>
      <c r="E75" s="114">
        <f>+'PLAN DE DESARROLLO 2024 - 2027'!K71</f>
        <v>0.29360000000000003</v>
      </c>
    </row>
    <row r="76" spans="3:6" x14ac:dyDescent="0.3">
      <c r="C76" s="87" t="str">
        <f>+'PLAN DE DESARROLLO 2024 - 2027'!B72</f>
        <v xml:space="preserve"> MI TERRITORIO EN ORDEN</v>
      </c>
      <c r="D76" s="103">
        <f>+'PLAN DE DESARROLLO 2024 - 2027'!M72</f>
        <v>0.26100999999999996</v>
      </c>
      <c r="E76" s="114">
        <f>+'PLAN DE DESARROLLO 2024 - 2027'!K72</f>
        <v>0.2935666666666667</v>
      </c>
    </row>
    <row r="80" spans="3:6" ht="58.95" customHeight="1" x14ac:dyDescent="0.3">
      <c r="C80" s="10"/>
      <c r="D80" s="85" t="s">
        <v>2520</v>
      </c>
      <c r="E80" s="783" t="s">
        <v>2524</v>
      </c>
      <c r="F80" s="79" t="s">
        <v>1585</v>
      </c>
    </row>
    <row r="81" spans="3:6" ht="36" x14ac:dyDescent="0.35">
      <c r="C81" s="89" t="str">
        <f>+'PLAN DE DESARROLLO 2024 - 2027'!B73</f>
        <v xml:space="preserve">Artes, Cultura y Patrimonio
</v>
      </c>
      <c r="D81" s="786">
        <f>+O10</f>
        <v>0.53503946200167696</v>
      </c>
      <c r="E81" s="117">
        <f>+'PLAN DE DESARROLLO 2024 - 2027'!K73</f>
        <v>0.67944991280412703</v>
      </c>
    </row>
    <row r="82" spans="3:6" ht="33" customHeight="1" x14ac:dyDescent="0.3">
      <c r="C82" s="87" t="str">
        <f>+'PLAN DE DESARROLLO 2024 - 2027'!B74</f>
        <v xml:space="preserve"> ESCENARIOS CULTURALES VIVOS PARA TRANSFORMAR</v>
      </c>
      <c r="D82" s="82">
        <f>+'PLAN DE DESARROLLO 2024 - 2027'!M74</f>
        <v>0.51559228074633057</v>
      </c>
      <c r="E82" s="113">
        <f>+'PLAN DE DESARROLLO 2024 - 2027'!K74</f>
        <v>0.58670067513174595</v>
      </c>
    </row>
    <row r="83" spans="3:6" ht="40.200000000000003" customHeight="1" x14ac:dyDescent="0.3">
      <c r="C83" s="87" t="str">
        <f>+'PLAN DE DESARROLLO 2024 - 2027'!B75</f>
        <v xml:space="preserve"> DEMOCRATIZACIÓN DE LA CULTURA: ESTÍMULOS PARA EL FOMENTO Y DESARROLLO ARTÍSTICO, CULTURAL Y CREATIVO.</v>
      </c>
      <c r="D83" s="82">
        <f>+'PLAN DE DESARROLLO 2024 - 2027'!M75</f>
        <v>0.98750000000000004</v>
      </c>
      <c r="E83" s="113">
        <f>+'PLAN DE DESARROLLO 2024 - 2027'!K75</f>
        <v>0.98750000000000004</v>
      </c>
    </row>
    <row r="84" spans="3:6" ht="22.95" customHeight="1" x14ac:dyDescent="0.3">
      <c r="C84" s="87" t="str">
        <f>+'PLAN DE DESARROLLO 2024 - 2027'!B76</f>
        <v xml:space="preserve"> FORMACIÓN ARTÍSTICA Y CULTURAL</v>
      </c>
      <c r="D84" s="82">
        <f>+'PLAN DE DESARROLLO 2024 - 2027'!M76</f>
        <v>0.59612777777777781</v>
      </c>
      <c r="E84" s="113">
        <f>+'PLAN DE DESARROLLO 2024 - 2027'!K76</f>
        <v>0.67138888888888892</v>
      </c>
    </row>
    <row r="85" spans="3:6" ht="34.950000000000003" customHeight="1" x14ac:dyDescent="0.3">
      <c r="C85" s="87" t="str">
        <f>+'PLAN DE DESARROLLO 2024 - 2027'!B77</f>
        <v xml:space="preserve"> DERECHOS CULTURALES Y FORTALECIMIENTO INSTITUCIONAL PARA LA GOBERNANZA</v>
      </c>
      <c r="D85" s="82">
        <f>+'PLAN DE DESARROLLO 2024 - 2027'!M77</f>
        <v>0.64</v>
      </c>
      <c r="E85" s="113">
        <f>+'PLAN DE DESARROLLO 2024 - 2027'!K77</f>
        <v>0.64</v>
      </c>
    </row>
    <row r="86" spans="3:6" ht="30.6" customHeight="1" x14ac:dyDescent="0.3">
      <c r="C86" s="87" t="str">
        <f>+'PLAN DE DESARROLLO 2024 - 2027'!B78</f>
        <v xml:space="preserve"> CARTAGENA BRILLA CON SU CULTURA Y PATRIMONIO MATERIAL E INMATERIAL</v>
      </c>
      <c r="D86" s="82">
        <f>+'PLAN DE DESARROLLO 2024 - 2027'!M78</f>
        <v>0.63333000000000006</v>
      </c>
      <c r="E86" s="113">
        <f>+'PLAN DE DESARROLLO 2024 - 2027'!K78</f>
        <v>0.51166</v>
      </c>
    </row>
    <row r="91" spans="3:6" ht="82.95" customHeight="1" x14ac:dyDescent="0.3">
      <c r="C91" s="10"/>
      <c r="D91" s="85" t="s">
        <v>2520</v>
      </c>
      <c r="E91" s="783" t="s">
        <v>2525</v>
      </c>
      <c r="F91" s="79" t="s">
        <v>1585</v>
      </c>
    </row>
    <row r="92" spans="3:6" ht="36" x14ac:dyDescent="0.35">
      <c r="C92" s="89" t="str">
        <f>+'PLAN DE DESARROLLO 2024 - 2027'!B80</f>
        <v xml:space="preserve">Deporte y Recreación
</v>
      </c>
      <c r="D92" s="782">
        <f>+O11</f>
        <v>0.50415658631572002</v>
      </c>
      <c r="E92" s="117">
        <f>+'PLAN DE DESARROLLO 2024 - 2027'!K80</f>
        <v>0.58130025930285478</v>
      </c>
    </row>
    <row r="93" spans="3:6" ht="34.950000000000003" customHeight="1" x14ac:dyDescent="0.3">
      <c r="C93" s="87" t="str">
        <f>+'PLAN DE DESARROLLO 2024 - 2027'!B81</f>
        <v xml:space="preserve"> FORTALECIMIENTO Y MANTENIMIENTO DE LA RED DE INFRAESTRUCTURA DEPORTIVA DEL DISTRITO</v>
      </c>
      <c r="D93" s="103">
        <f>+'PLAN DE DESARROLLO 2024 - 2027'!M81</f>
        <v>0.41416666666666668</v>
      </c>
      <c r="E93" s="1056">
        <f>+'PLAN DE DESARROLLO 2024 - 2027'!K81</f>
        <v>0.41416666666666668</v>
      </c>
    </row>
    <row r="94" spans="3:6" ht="30.6" customHeight="1" x14ac:dyDescent="0.3">
      <c r="C94" s="87" t="str">
        <f>+'PLAN DE DESARROLLO 2024 - 2027'!B82</f>
        <v xml:space="preserve"> FOMENTO AL DEPORTE DE ALTO RENDIMIENTO</v>
      </c>
      <c r="D94" s="103">
        <f>+'PLAN DE DESARROLLO 2024 - 2027'!M82</f>
        <v>0.35829394876325088</v>
      </c>
      <c r="E94" s="1056">
        <f>+'PLAN DE DESARROLLO 2024 - 2027'!K82</f>
        <v>0.36217424911660778</v>
      </c>
    </row>
    <row r="95" spans="3:6" ht="52.95" customHeight="1" x14ac:dyDescent="0.3">
      <c r="C95" s="87" t="str">
        <f>+'PLAN DE DESARROLLO 2024 - 2027'!B83</f>
        <v xml:space="preserve"> FORTALECIMIENTO DEL CAPITAL HUMANO A TRAVÉS DE LAS CIENCIAS APLICADAS AL DEPORTE Y LA RECREACIÓN.</v>
      </c>
      <c r="D95" s="103">
        <f>+'PLAN DE DESARROLLO 2024 - 2027'!M83</f>
        <v>0.58239999999999992</v>
      </c>
      <c r="E95" s="113">
        <f>+'PLAN DE DESARROLLO 2024 - 2027'!K83</f>
        <v>0.58266666666666667</v>
      </c>
    </row>
    <row r="96" spans="3:6" ht="36.6" customHeight="1" x14ac:dyDescent="0.3">
      <c r="C96" s="87" t="str">
        <f>+'PLAN DE DESARROLLO 2024 - 2027'!B84</f>
        <v xml:space="preserve"> FORTALECIMIENTO DEL DEPORTE FORMATIVO, ESTUDIANTIL Y LA EDUCACIÓN FÍSICA EXTRAESCOLAR</v>
      </c>
      <c r="D96" s="103">
        <f>+'PLAN DE DESARROLLO 2024 - 2027'!M84</f>
        <v>0.68686416133617634</v>
      </c>
      <c r="E96" s="113">
        <f>+'PLAN DE DESARROLLO 2024 - 2027'!K84</f>
        <v>0.70765785358919697</v>
      </c>
    </row>
    <row r="97" spans="3:5" ht="45" customHeight="1" x14ac:dyDescent="0.3">
      <c r="C97" s="87" t="str">
        <f>+'PLAN DE DESARROLLO 2024 - 2027'!B85</f>
        <v xml:space="preserve"> FORTALECIMIENTO DEL DEPORTE SOCIAL COMUNITARIO, AVANZAR EN NUESTRO TERRITORIO</v>
      </c>
      <c r="D97" s="103">
        <f>+'PLAN DE DESARROLLO 2024 - 2027'!M85</f>
        <v>0.48642622950819669</v>
      </c>
      <c r="E97" s="113">
        <f>+'PLAN DE DESARROLLO 2024 - 2027'!K85</f>
        <v>0.48642622950819669</v>
      </c>
    </row>
    <row r="98" spans="3:5" ht="36.6" x14ac:dyDescent="0.3">
      <c r="C98" s="87" t="str">
        <f>+'PLAN DE DESARROLLO 2024 - 2027'!B86</f>
        <v xml:space="preserve"> PROMOCIÓN DE HÁBITOS Y ESTILOS DE VIDA SALUDABLE, RECREACIÓN, ACTIVIDAD FÍSICA Y EL APROVECHAMIENTO DEL TIEMPO LIBRE EN EL DISTRITO DE CARTAGENA</v>
      </c>
      <c r="D98" s="103">
        <f>+'PLAN DE DESARROLLO 2024 - 2027'!M86</f>
        <v>0.69215680555555559</v>
      </c>
      <c r="E98" s="113">
        <f>+'PLAN DE DESARROLLO 2024 - 2027'!K86</f>
        <v>0.69670694444444448</v>
      </c>
    </row>
    <row r="99" spans="3:5" ht="34.200000000000003" customHeight="1" x14ac:dyDescent="0.3">
      <c r="C99" s="87" t="str">
        <f>+'PLAN DE DESARROLLO 2024 - 2027'!B87</f>
        <v xml:space="preserve"> CARTAGENA CIUDAD DESTINO DE TURISMO DEPORTIVO</v>
      </c>
      <c r="D99" s="103">
        <f>+'PLAN DE DESARROLLO 2024 - 2027'!M87</f>
        <v>0.85509487179487176</v>
      </c>
      <c r="E99" s="113">
        <f>+'PLAN DE DESARROLLO 2024 - 2027'!K87</f>
        <v>0.81930320512820509</v>
      </c>
    </row>
    <row r="100" spans="3:5" ht="18" x14ac:dyDescent="0.35">
      <c r="C100" s="94"/>
      <c r="D100" s="95"/>
    </row>
    <row r="101" spans="3:5" ht="18" x14ac:dyDescent="0.35">
      <c r="C101" s="94"/>
      <c r="D101" s="95"/>
    </row>
    <row r="102" spans="3:5" ht="44.4" customHeight="1" x14ac:dyDescent="0.3">
      <c r="C102" s="10"/>
      <c r="D102" s="85" t="s">
        <v>2520</v>
      </c>
      <c r="E102" s="783" t="s">
        <v>2526</v>
      </c>
    </row>
    <row r="103" spans="3:5" ht="36" x14ac:dyDescent="0.35">
      <c r="C103" s="89" t="str">
        <f>+'PLAN DE DESARROLLO 2024 - 2027'!B88</f>
        <v xml:space="preserve"> Infancia, Adolescencia y Familia
</v>
      </c>
      <c r="D103" s="782">
        <f>+O12</f>
        <v>0.7250078734798705</v>
      </c>
      <c r="E103" s="117">
        <f>+'PLAN DE DESARROLLO 2024 - 2027'!K88</f>
        <v>0.70093698469337029</v>
      </c>
    </row>
    <row r="104" spans="3:5" ht="25.95" customHeight="1" x14ac:dyDescent="0.3">
      <c r="C104" s="87" t="str">
        <f>+'PLAN DE DESARROLLO 2024 - 2027'!B89</f>
        <v xml:space="preserve"> ENTORNOS SEGUROS PARA LA PRIMERA INFANCIA</v>
      </c>
      <c r="D104" s="103">
        <f>+'PLAN DE DESARROLLO 2024 - 2027'!M89</f>
        <v>0.78121367009638698</v>
      </c>
      <c r="E104" s="113">
        <f>+'PLAN DE DESARROLLO 2024 - 2027'!K89</f>
        <v>0.67886083762048366</v>
      </c>
    </row>
    <row r="105" spans="3:5" ht="24.6" x14ac:dyDescent="0.3">
      <c r="C105" s="87" t="str">
        <f>+'PLAN DE DESARROLLO 2024 - 2027'!B90</f>
        <v xml:space="preserve"> AVANZANDO HACIA UNA INFANCIA Y ADOLESCENCIA PROTEGIDA Y SIN VIOLENCIAS</v>
      </c>
      <c r="D105" s="103">
        <f>+'PLAN DE DESARROLLO 2024 - 2027'!M90</f>
        <v>0.46282430555555554</v>
      </c>
      <c r="E105" s="113">
        <f>+'PLAN DE DESARROLLO 2024 - 2027'!K90</f>
        <v>0.57819097222222227</v>
      </c>
    </row>
    <row r="106" spans="3:5" x14ac:dyDescent="0.3">
      <c r="C106" s="87" t="str">
        <f>+'PLAN DE DESARROLLO 2024 - 2027'!B91</f>
        <v xml:space="preserve"> JUGANDO Y PARTICIPANDO LOS DERECHOS DE LA NIÑEZ VAMOS IMPULSANDO</v>
      </c>
      <c r="D106" s="103">
        <f>+'PLAN DE DESARROLLO 2024 - 2027'!M91</f>
        <v>0.87477984817115262</v>
      </c>
      <c r="E106" s="113">
        <f>+'PLAN DE DESARROLLO 2024 - 2027'!K91</f>
        <v>0.84575914423740506</v>
      </c>
    </row>
    <row r="107" spans="3:5" ht="18" x14ac:dyDescent="0.35">
      <c r="C107" s="94"/>
      <c r="D107" s="95"/>
    </row>
    <row r="108" spans="3:5" ht="18" x14ac:dyDescent="0.35">
      <c r="C108" s="94"/>
      <c r="D108" s="95"/>
    </row>
    <row r="109" spans="3:5" ht="18" x14ac:dyDescent="0.35">
      <c r="C109" s="94"/>
      <c r="D109" s="95"/>
    </row>
    <row r="110" spans="3:5" ht="18" x14ac:dyDescent="0.35">
      <c r="C110" s="94"/>
      <c r="D110" s="95"/>
    </row>
    <row r="113" spans="3:4" ht="57.6" customHeight="1" x14ac:dyDescent="0.3">
      <c r="C113" s="10"/>
      <c r="D113" s="783" t="s">
        <v>2527</v>
      </c>
    </row>
    <row r="114" spans="3:4" ht="36" x14ac:dyDescent="0.35">
      <c r="C114" s="89" t="str">
        <f>+C5</f>
        <v xml:space="preserve"> VIDA DIGNA
</v>
      </c>
      <c r="D114" s="1283">
        <f>+'PLAN DE DESARROLLO 2024 - 2027'!I46</f>
        <v>0.71761002085769865</v>
      </c>
    </row>
    <row r="115" spans="3:4" x14ac:dyDescent="0.3">
      <c r="C115" s="10" t="str">
        <f>+M7</f>
        <v xml:space="preserve"> Educación
</v>
      </c>
      <c r="D115" s="1052">
        <f>+'PLAN DE DESARROLLO 2024 - 2027'!I47</f>
        <v>0.85005352404281742</v>
      </c>
    </row>
    <row r="116" spans="3:4" x14ac:dyDescent="0.3">
      <c r="C116" s="10" t="str">
        <f>+M8</f>
        <v xml:space="preserve"> Acceso a Servicios Básicos
</v>
      </c>
      <c r="D116" s="1284">
        <f>+'PLAN DE DESARROLLO 2024 - 2027'!I64</f>
        <v>0.66509994615498125</v>
      </c>
    </row>
    <row r="117" spans="3:4" x14ac:dyDescent="0.3">
      <c r="C117" s="10" t="str">
        <f>+M9</f>
        <v xml:space="preserve"> Vivienda Digna y Hábitat
</v>
      </c>
      <c r="D117" s="1053">
        <f>+'PLAN DE DESARROLLO 2024 - 2027'!I68</f>
        <v>0.77680263157894736</v>
      </c>
    </row>
    <row r="118" spans="3:4" x14ac:dyDescent="0.3">
      <c r="C118" s="10" t="str">
        <f>+M10</f>
        <v xml:space="preserve">Artes, Cultura y Patrimonio
</v>
      </c>
      <c r="D118" s="1053">
        <f>+'PLAN DE DESARROLLO 2024 - 2027'!I73</f>
        <v>0.77299867847723902</v>
      </c>
    </row>
    <row r="119" spans="3:4" x14ac:dyDescent="0.3">
      <c r="C119" s="10" t="str">
        <f>+M12</f>
        <v xml:space="preserve"> Infancia, Adolescencia y Familia
</v>
      </c>
      <c r="D119" s="918">
        <f>+'PLAN DE DESARROLLO 2024 - 2027'!I88</f>
        <v>0.97274305555555551</v>
      </c>
    </row>
    <row r="120" spans="3:4" x14ac:dyDescent="0.3">
      <c r="C120" s="10" t="str">
        <f>+M11</f>
        <v xml:space="preserve">Deporte y Recreación
</v>
      </c>
      <c r="D120" s="918">
        <f>+'PLAN DE DESARROLLO 2024 - 2027'!I80</f>
        <v>0.93306223549163236</v>
      </c>
    </row>
    <row r="132" spans="3:10" ht="31.95" customHeight="1" x14ac:dyDescent="0.3"/>
    <row r="139" spans="3:10" ht="36.6" customHeight="1" x14ac:dyDescent="0.3"/>
    <row r="140" spans="3:10" ht="15" thickBot="1" x14ac:dyDescent="0.35"/>
    <row r="141" spans="3:10" ht="33" customHeight="1" x14ac:dyDescent="0.3">
      <c r="C141" s="1452" t="s">
        <v>1844</v>
      </c>
      <c r="D141" s="1453"/>
      <c r="E141" s="1454"/>
      <c r="J141" s="969"/>
    </row>
    <row r="142" spans="3:10" ht="15" thickBot="1" x14ac:dyDescent="0.35">
      <c r="C142" s="1455"/>
      <c r="D142" s="1456"/>
      <c r="E142" s="1457"/>
      <c r="J142" s="969"/>
    </row>
    <row r="143" spans="3:10" ht="63.6" customHeight="1" thickBot="1" x14ac:dyDescent="0.35">
      <c r="C143" s="1145" t="s">
        <v>2269</v>
      </c>
      <c r="D143" s="1146" t="s">
        <v>2528</v>
      </c>
      <c r="E143" s="1147" t="s">
        <v>1586</v>
      </c>
      <c r="J143" s="969"/>
    </row>
    <row r="144" spans="3:10" ht="51.6" customHeight="1" thickBot="1" x14ac:dyDescent="0.35">
      <c r="C144" s="1148" t="s">
        <v>1689</v>
      </c>
      <c r="D144" s="1149">
        <v>0.10991495076096687</v>
      </c>
      <c r="E144" s="1150" t="s">
        <v>2337</v>
      </c>
      <c r="J144" s="969"/>
    </row>
    <row r="145" spans="3:10" ht="37.200000000000003" customHeight="1" thickBot="1" x14ac:dyDescent="0.35">
      <c r="C145" s="1285" t="s">
        <v>1660</v>
      </c>
      <c r="D145" s="1286">
        <v>8.6300000000000002E-2</v>
      </c>
      <c r="E145" s="1287" t="s">
        <v>551</v>
      </c>
      <c r="J145" s="969"/>
    </row>
    <row r="146" spans="3:10" ht="28.2" customHeight="1" x14ac:dyDescent="0.3">
      <c r="J146" s="969"/>
    </row>
    <row r="147" spans="3:10" x14ac:dyDescent="0.3">
      <c r="J147" s="969"/>
    </row>
    <row r="148" spans="3:10" ht="31.2" customHeight="1" x14ac:dyDescent="0.3">
      <c r="J148" s="969"/>
    </row>
    <row r="149" spans="3:10" ht="25.2" customHeight="1" x14ac:dyDescent="0.3">
      <c r="J149" s="969"/>
    </row>
    <row r="150" spans="3:10" ht="32.4" customHeight="1" x14ac:dyDescent="0.3">
      <c r="J150" s="969"/>
    </row>
    <row r="151" spans="3:10" ht="19.2" customHeight="1" x14ac:dyDescent="0.3">
      <c r="J151" s="969"/>
    </row>
    <row r="152" spans="3:10" ht="30" customHeight="1" x14ac:dyDescent="0.3">
      <c r="J152" s="969"/>
    </row>
    <row r="153" spans="3:10" ht="31.2" customHeight="1" x14ac:dyDescent="0.3"/>
  </sheetData>
  <sheetProtection password="DF7C" sheet="1" objects="1" scenarios="1"/>
  <mergeCells count="3">
    <mergeCell ref="M3:O4"/>
    <mergeCell ref="C2:F3"/>
    <mergeCell ref="C141:E14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2:O103"/>
  <sheetViews>
    <sheetView zoomScale="40" zoomScaleNormal="40" workbookViewId="0">
      <selection activeCell="F92" sqref="F92"/>
    </sheetView>
  </sheetViews>
  <sheetFormatPr baseColWidth="10" defaultRowHeight="14.4" x14ac:dyDescent="0.3"/>
  <cols>
    <col min="3" max="3" width="58.6640625" customWidth="1"/>
    <col min="4" max="4" width="38.6640625" customWidth="1"/>
    <col min="5" max="5" width="52.5546875" customWidth="1"/>
    <col min="6" max="6" width="65.33203125" customWidth="1"/>
    <col min="7" max="7" width="60" customWidth="1"/>
    <col min="8" max="8" width="29.33203125" customWidth="1"/>
    <col min="9" max="9" width="42.6640625" customWidth="1"/>
    <col min="13" max="13" width="37.33203125" customWidth="1"/>
    <col min="14" max="14" width="38.88671875" customWidth="1"/>
    <col min="15" max="15" width="53.6640625" customWidth="1"/>
  </cols>
  <sheetData>
    <row r="2" spans="3:15" ht="14.4" customHeight="1" x14ac:dyDescent="0.3">
      <c r="C2" s="1458" t="s">
        <v>2529</v>
      </c>
      <c r="D2" s="1458"/>
      <c r="E2" s="1458"/>
      <c r="F2" s="1458"/>
      <c r="M2" s="1432" t="s">
        <v>2456</v>
      </c>
      <c r="N2" s="1433"/>
      <c r="O2" s="1434"/>
    </row>
    <row r="3" spans="3:15" ht="22.95" customHeight="1" x14ac:dyDescent="0.3">
      <c r="C3" s="1458"/>
      <c r="D3" s="1458"/>
      <c r="E3" s="1458"/>
      <c r="F3" s="1458"/>
      <c r="M3" s="1435"/>
      <c r="N3" s="1436"/>
      <c r="O3" s="1437"/>
    </row>
    <row r="4" spans="3:15" ht="57.6" customHeight="1" x14ac:dyDescent="0.35">
      <c r="C4" s="955"/>
      <c r="D4" s="956" t="s">
        <v>1987</v>
      </c>
      <c r="E4" s="956" t="s">
        <v>2518</v>
      </c>
      <c r="F4" s="956" t="s">
        <v>1988</v>
      </c>
      <c r="M4" s="84"/>
      <c r="N4" s="85" t="s">
        <v>1989</v>
      </c>
      <c r="O4" s="85" t="s">
        <v>2519</v>
      </c>
    </row>
    <row r="5" spans="3:15" ht="55.95" customHeight="1" x14ac:dyDescent="0.35">
      <c r="C5" s="96" t="str">
        <f>+'PLAN DE DESARROLLO 2024 - 2027'!B92</f>
        <v xml:space="preserve"> DESARROLLO ECONÓMICO EQUITATIVO
</v>
      </c>
      <c r="D5" s="957">
        <f>+'PLAN DE DESARROLLO 2024 - 2027'!F92</f>
        <v>0.54819427564280709</v>
      </c>
      <c r="E5" s="1289">
        <f>+'PLAN DE DESARROLLO 2024 - 2027'!K92</f>
        <v>0.48812060511247513</v>
      </c>
      <c r="F5" s="958">
        <v>0.23537004965661618</v>
      </c>
      <c r="M5" s="96" t="str">
        <f t="shared" ref="M5:M12" si="0">+C5</f>
        <v xml:space="preserve"> DESARROLLO ECONÓMICO EQUITATIVO
</v>
      </c>
      <c r="N5" s="782">
        <f>+'PLAN DE DESARROLLO 2024 - 2027'!G92+'PLAN DE DESARROLLO 2024 - 2027'!H92</f>
        <v>0.49242436784377663</v>
      </c>
      <c r="O5" s="116">
        <f>+'PLAN DE DESARROLLO 2024 - 2027'!M92</f>
        <v>0.47717044466787067</v>
      </c>
    </row>
    <row r="6" spans="3:15" ht="54.6" customHeight="1" x14ac:dyDescent="0.35">
      <c r="C6" s="959" t="str">
        <f>+'PLAN DE DESARROLLO 2024 - 2027'!B93</f>
        <v xml:space="preserve"> Competitividad e innovación
</v>
      </c>
      <c r="D6" s="960">
        <f>+'PLAN DE DESARROLLO 2024 - 2027'!F93</f>
        <v>0.65333333333333332</v>
      </c>
      <c r="E6" s="961">
        <f>+'PLAN DE DESARROLLO 2024 - 2027'!K93</f>
        <v>0.59083333333333332</v>
      </c>
      <c r="F6" s="960">
        <v>0.37</v>
      </c>
      <c r="M6" s="86" t="str">
        <f t="shared" si="0"/>
        <v xml:space="preserve"> Competitividad e innovación
</v>
      </c>
      <c r="N6" s="105">
        <f>+'PLAN DE DESARROLLO 2024 - 2027'!G93+'PLAN DE DESARROLLO 2024 - 2027'!H93</f>
        <v>0.65625</v>
      </c>
      <c r="O6" s="103">
        <f>+'PLAN DE DESARROLLO 2024 - 2027'!M93</f>
        <v>0.55075000000000007</v>
      </c>
    </row>
    <row r="7" spans="3:15" ht="36" x14ac:dyDescent="0.35">
      <c r="C7" s="959" t="str">
        <f>+'PLAN DE DESARROLLO 2024 - 2027'!B96</f>
        <v xml:space="preserve"> Diversificación Económica
</v>
      </c>
      <c r="D7" s="960">
        <f>+'PLAN DE DESARROLLO 2024 - 2027'!F96</f>
        <v>0.57802777777777781</v>
      </c>
      <c r="E7" s="961">
        <f>+'PLAN DE DESARROLLO 2024 - 2027'!K96</f>
        <v>0.58986633269720101</v>
      </c>
      <c r="F7" s="960">
        <v>0.23097916666666671</v>
      </c>
      <c r="M7" s="92" t="str">
        <f t="shared" si="0"/>
        <v xml:space="preserve"> Diversificación Económica
</v>
      </c>
      <c r="N7" s="103">
        <f>+'PLAN DE DESARROLLO 2024 - 2027'!G96+'PLAN DE DESARROLLO 2024 - 2027'!H96</f>
        <v>0.53725000000000001</v>
      </c>
      <c r="O7" s="103">
        <f>+'PLAN DE DESARROLLO 2024 - 2027'!M96</f>
        <v>0.65223139312977096</v>
      </c>
    </row>
    <row r="8" spans="3:15" ht="43.8" x14ac:dyDescent="0.35">
      <c r="C8" s="959" t="str">
        <f>+'PLAN DE DESARROLLO 2024 - 2027'!B101</f>
        <v xml:space="preserve"> Trabajo Decente y Cierre de Brechas Laborales
</v>
      </c>
      <c r="D8" s="960">
        <f>+'PLAN DE DESARROLLO 2024 - 2027'!F101</f>
        <v>0.44333803418803419</v>
      </c>
      <c r="E8" s="961">
        <f>+'PLAN DE DESARROLLO 2024 - 2027'!K101</f>
        <v>0.55999045584045581</v>
      </c>
      <c r="F8" s="960">
        <v>0.28650042735042736</v>
      </c>
      <c r="M8" s="86" t="str">
        <f t="shared" si="0"/>
        <v xml:space="preserve"> Trabajo Decente y Cierre de Brechas Laborales
</v>
      </c>
      <c r="N8" s="103">
        <f>+'PLAN DE DESARROLLO 2024 - 2027'!G101+'PLAN DE DESARROLLO 2024 - 2027'!H101</f>
        <v>0.42369658119658121</v>
      </c>
      <c r="O8" s="103">
        <f>+'PLAN DE DESARROLLO 2024 - 2027'!M101</f>
        <v>0.45406589743589743</v>
      </c>
    </row>
    <row r="9" spans="3:15" ht="36" x14ac:dyDescent="0.35">
      <c r="C9" s="959" t="str">
        <f>+'PLAN DE DESARROLLO 2024 - 2027'!B105</f>
        <v xml:space="preserve"> Economía Popular y Emprendimiento
</v>
      </c>
      <c r="D9" s="960">
        <f>+'PLAN DE DESARROLLO 2024 - 2027'!F105</f>
        <v>0.45191666666666674</v>
      </c>
      <c r="E9" s="1062">
        <f>+'PLAN DE DESARROLLO 2024 - 2027'!K105</f>
        <v>0.39236458333333335</v>
      </c>
      <c r="F9" s="960">
        <v>0.17056250000000003</v>
      </c>
      <c r="M9" s="86" t="str">
        <f t="shared" si="0"/>
        <v xml:space="preserve"> Economía Popular y Emprendimiento
</v>
      </c>
      <c r="N9" s="103">
        <f>+'PLAN DE DESARROLLO 2024 - 2027'!G105+'PLAN DE DESARROLLO 2024 - 2027'!H105</f>
        <v>0.45204166666666673</v>
      </c>
      <c r="O9" s="103">
        <f>+'PLAN DE DESARROLLO 2024 - 2027'!M105</f>
        <v>0.48483416666666668</v>
      </c>
    </row>
    <row r="10" spans="3:15" ht="49.95" customHeight="1" x14ac:dyDescent="0.35">
      <c r="C10" s="959" t="str">
        <f>+'PLAN DE DESARROLLO 2024 - 2027'!B110</f>
        <v xml:space="preserve">Turismo Sostenible y Responsable
</v>
      </c>
      <c r="D10" s="960">
        <f>+'PLAN DE DESARROLLO 2024 - 2027'!F110</f>
        <v>0.6744342025757889</v>
      </c>
      <c r="E10" s="961">
        <f>+'PLAN DE DESARROLLO 2024 - 2027'!K110</f>
        <v>0.51483556384227602</v>
      </c>
      <c r="F10" s="960">
        <v>0.16850000000000001</v>
      </c>
      <c r="M10" s="86" t="str">
        <f t="shared" si="0"/>
        <v xml:space="preserve">Turismo Sostenible y Responsable
</v>
      </c>
      <c r="N10" s="103">
        <f>+'PLAN DE DESARROLLO 2024 - 2027'!G110+'PLAN DE DESARROLLO 2024 - 2027'!H110</f>
        <v>0.68279743197983567</v>
      </c>
      <c r="O10" s="103">
        <f>+'PLAN DE DESARROLLO 2024 - 2027'!M110</f>
        <v>0.46027253772184246</v>
      </c>
    </row>
    <row r="11" spans="3:15" ht="34.950000000000003" customHeight="1" x14ac:dyDescent="0.35">
      <c r="C11" s="959" t="str">
        <f>+'PLAN DE DESARROLLO 2024 - 2027'!B116</f>
        <v xml:space="preserve"> Desarrollo Agropecuario 
</v>
      </c>
      <c r="D11" s="960">
        <f>+'PLAN DE DESARROLLO 2024 - 2027'!F116</f>
        <v>0.58398769273582618</v>
      </c>
      <c r="E11" s="1062">
        <f>+'PLAN DE DESARROLLO 2024 - 2027'!K116</f>
        <v>0.40940952229628164</v>
      </c>
      <c r="F11" s="960">
        <v>0.19428158691255218</v>
      </c>
      <c r="M11" s="10" t="str">
        <f t="shared" si="0"/>
        <v xml:space="preserve"> Desarrollo Agropecuario 
</v>
      </c>
      <c r="N11" s="103">
        <f>+'PLAN DE DESARROLLO 2024 - 2027'!G116+'PLAN DE DESARROLLO 2024 - 2027'!H116</f>
        <v>0.41627864506335271</v>
      </c>
      <c r="O11" s="103">
        <f>+'PLAN DE DESARROLLO 2024 - 2027'!M116</f>
        <v>0.45634263977502848</v>
      </c>
    </row>
    <row r="12" spans="3:15" ht="69" customHeight="1" x14ac:dyDescent="0.35">
      <c r="C12" s="959" t="str">
        <f>+'PLAN DE DESARROLLO 2024 - 2027'!B120</f>
        <v xml:space="preserve">Sistema Integral de Abastecimiento del Distrito
</v>
      </c>
      <c r="D12" s="960">
        <f>+'PLAN DE DESARROLLO 2024 - 2027'!F120</f>
        <v>0.45232222222222218</v>
      </c>
      <c r="E12" s="1062">
        <f>+'PLAN DE DESARROLLO 2024 - 2027'!K120</f>
        <v>0.35954444444444444</v>
      </c>
      <c r="F12" s="960">
        <v>0.22676666666666667</v>
      </c>
      <c r="M12" s="86" t="str">
        <f t="shared" si="0"/>
        <v xml:space="preserve">Sistema Integral de Abastecimiento del Distrito
</v>
      </c>
      <c r="N12" s="103">
        <f>+'PLAN DE DESARROLLO 2024 - 2027'!G120+'PLAN DE DESARROLLO 2024 - 2027'!H120</f>
        <v>0.39166666666666661</v>
      </c>
      <c r="O12" s="103">
        <f>+'PLAN DE DESARROLLO 2024 - 2027'!M120</f>
        <v>0.33761249999999998</v>
      </c>
    </row>
    <row r="32" spans="3:5" ht="76.95" customHeight="1" x14ac:dyDescent="0.3">
      <c r="C32" s="10"/>
      <c r="D32" s="85" t="s">
        <v>2530</v>
      </c>
      <c r="E32" s="789" t="s">
        <v>2531</v>
      </c>
    </row>
    <row r="33" spans="3:7" ht="70.2" customHeight="1" x14ac:dyDescent="0.35">
      <c r="C33" s="89" t="str">
        <f>+'PLAN DE DESARROLLO 2024 - 2027'!B93</f>
        <v xml:space="preserve"> Competitividad e innovación
</v>
      </c>
      <c r="D33" s="785">
        <f>+O6</f>
        <v>0.55075000000000007</v>
      </c>
      <c r="E33" s="117">
        <f>+'PLAN DE DESARROLLO 2024 - 2027'!K93</f>
        <v>0.59083333333333332</v>
      </c>
      <c r="G33" t="s">
        <v>1585</v>
      </c>
    </row>
    <row r="34" spans="3:7" ht="34.950000000000003" customHeight="1" x14ac:dyDescent="0.3">
      <c r="C34" s="87" t="str">
        <f>+'PLAN DE DESARROLLO 2024 - 2027'!B94</f>
        <v xml:space="preserve"> UNIDOS POR UNA CARTAGENA COMPETITIVA E INNOVADORA</v>
      </c>
      <c r="D34" s="107">
        <f>+'PLAN DE DESARROLLO 2024 - 2027'!M94</f>
        <v>0.70750000000000002</v>
      </c>
      <c r="E34" s="113">
        <f>+'PLAN DE DESARROLLO 2024 - 2027'!K94</f>
        <v>0.73</v>
      </c>
    </row>
    <row r="35" spans="3:7" ht="28.95" customHeight="1" x14ac:dyDescent="0.3">
      <c r="C35" s="87" t="str">
        <f>+'PLAN DE DESARROLLO 2024 - 2027'!B95</f>
        <v xml:space="preserve"> CARTAGENA GLOBAL</v>
      </c>
      <c r="D35" s="107">
        <f>+'PLAN DE DESARROLLO 2024 - 2027'!M95</f>
        <v>0.44624999999999998</v>
      </c>
      <c r="E35" s="113">
        <f>+'PLAN DE DESARROLLO 2024 - 2027'!K95</f>
        <v>0.45166666666666666</v>
      </c>
    </row>
    <row r="36" spans="3:7" ht="28.8" x14ac:dyDescent="0.3">
      <c r="G36" s="91" t="s">
        <v>1585</v>
      </c>
    </row>
    <row r="37" spans="3:7" ht="54" customHeight="1" x14ac:dyDescent="0.3">
      <c r="C37" s="10"/>
      <c r="D37" s="85" t="s">
        <v>2530</v>
      </c>
      <c r="E37" s="789" t="s">
        <v>2532</v>
      </c>
      <c r="F37" s="79" t="s">
        <v>1585</v>
      </c>
    </row>
    <row r="38" spans="3:7" ht="54" customHeight="1" x14ac:dyDescent="0.35">
      <c r="C38" s="89" t="str">
        <f>+'PLAN DE DESARROLLO 2024 - 2027'!B96</f>
        <v xml:space="preserve"> Diversificación Económica
</v>
      </c>
      <c r="D38" s="786">
        <f>+O7</f>
        <v>0.65223139312977096</v>
      </c>
      <c r="E38" s="117">
        <f>+'PLAN DE DESARROLLO 2024 - 2027'!K96</f>
        <v>0.58986633269720101</v>
      </c>
    </row>
    <row r="39" spans="3:7" ht="39" customHeight="1" x14ac:dyDescent="0.3">
      <c r="C39" s="87" t="str">
        <f>+'PLAN DE DESARROLLO 2024 - 2027'!B97</f>
        <v xml:space="preserve"> UNIDOS POR LA DIVERSIFICACIÓN ECONÓMICA Y EL DESARROLLO EMPRESARIAL</v>
      </c>
      <c r="D39" s="82">
        <f>+'PLAN DE DESARROLLO 2024 - 2027'!M97</f>
        <v>0.88874999999999993</v>
      </c>
      <c r="E39" s="113">
        <f>+'PLAN DE DESARROLLO 2024 - 2027'!K97</f>
        <v>0.72187500000000004</v>
      </c>
    </row>
    <row r="40" spans="3:7" ht="34.950000000000003" customHeight="1" x14ac:dyDescent="0.3">
      <c r="C40" s="87" t="str">
        <f>+'PLAN DE DESARROLLO 2024 - 2027'!B98</f>
        <v xml:space="preserve"> COOPERACIÓN PARA AVANZAR</v>
      </c>
      <c r="D40" s="82">
        <f>+'PLAN DE DESARROLLO 2024 - 2027'!M98</f>
        <v>0.5779389312977099</v>
      </c>
      <c r="E40" s="113">
        <f>+'PLAN DE DESARROLLO 2024 - 2027'!K98</f>
        <v>0.55159033078880404</v>
      </c>
    </row>
    <row r="41" spans="3:7" ht="32.4" customHeight="1" x14ac:dyDescent="0.3">
      <c r="C41" s="87" t="str">
        <f>+'PLAN DE DESARROLLO 2024 - 2027'!B99</f>
        <v xml:space="preserve"> ECONOMÍA CIRCULAR Y NEGOCIOS VERDES</v>
      </c>
      <c r="D41" s="82">
        <f>+'PLAN DE DESARROLLO 2024 - 2027'!M99</f>
        <v>0.36</v>
      </c>
      <c r="E41" s="113">
        <f>+'PLAN DE DESARROLLO 2024 - 2027'!K99</f>
        <v>0.56099999999999994</v>
      </c>
    </row>
    <row r="42" spans="3:7" ht="42" customHeight="1" x14ac:dyDescent="0.3">
      <c r="C42" s="87" t="str">
        <f>+'PLAN DE DESARROLLO 2024 - 2027'!B100</f>
        <v xml:space="preserve"> TRANSFORMACIÓN PRODUCTIVA</v>
      </c>
      <c r="D42" s="82">
        <f>+'PLAN DE DESARROLLO 2024 - 2027'!M100</f>
        <v>0.755</v>
      </c>
      <c r="E42" s="113">
        <f>+'PLAN DE DESARROLLO 2024 - 2027'!K100</f>
        <v>0.52500000000000002</v>
      </c>
    </row>
    <row r="44" spans="3:7" ht="63.6" customHeight="1" x14ac:dyDescent="0.3">
      <c r="C44" s="10"/>
      <c r="D44" s="85" t="s">
        <v>2530</v>
      </c>
      <c r="E44" s="789" t="s">
        <v>2533</v>
      </c>
    </row>
    <row r="45" spans="3:7" ht="69" customHeight="1" x14ac:dyDescent="0.35">
      <c r="C45" s="89" t="str">
        <f>+'PLAN DE DESARROLLO 2024 - 2027'!B101</f>
        <v xml:space="preserve"> Trabajo Decente y Cierre de Brechas Laborales
</v>
      </c>
      <c r="D45" s="786">
        <f>+O8</f>
        <v>0.45406589743589743</v>
      </c>
      <c r="E45" s="117">
        <f>+'PLAN DE DESARROLLO 2024 - 2027'!K101</f>
        <v>0.55999045584045581</v>
      </c>
    </row>
    <row r="46" spans="3:7" ht="59.4" customHeight="1" x14ac:dyDescent="0.3">
      <c r="C46" s="87" t="str">
        <f>+'PLAN DE DESARROLLO 2024 - 2027'!B102</f>
        <v xml:space="preserve"> EMPLEO Y CAPITAL HUMANO</v>
      </c>
      <c r="D46" s="82">
        <f>+'PLAN DE DESARROLLO 2024 - 2027'!M102</f>
        <v>0.20471833333333331</v>
      </c>
      <c r="E46" s="114">
        <f>+'PLAN DE DESARROLLO 2024 - 2027'!K102</f>
        <v>0.27314444444444441</v>
      </c>
    </row>
    <row r="47" spans="3:7" ht="24.6" customHeight="1" x14ac:dyDescent="0.3">
      <c r="C47" s="87" t="str">
        <f>+'PLAN DE DESARROLLO 2024 - 2027'!B103</f>
        <v xml:space="preserve"> MI PRIMERA CHAMBA</v>
      </c>
      <c r="D47" s="82">
        <f>+'PLAN DE DESARROLLO 2024 - 2027'!M103</f>
        <v>0.54374999999999996</v>
      </c>
      <c r="E47" s="113">
        <f>+'PLAN DE DESARROLLO 2024 - 2027'!K103</f>
        <v>0.54374999999999996</v>
      </c>
    </row>
    <row r="48" spans="3:7" ht="24.6" x14ac:dyDescent="0.3">
      <c r="C48" s="87" t="str">
        <f>+'PLAN DE DESARROLLO 2024 - 2027'!B104</f>
        <v xml:space="preserve"> DERECHO AL TRABAJO EN CONDICIONES DE IGUALDAD Y DIGNIDAD PARA LA MUJER</v>
      </c>
      <c r="D48" s="82">
        <f>+'PLAN DE DESARROLLO 2024 - 2027'!M104</f>
        <v>0.86307692307692307</v>
      </c>
      <c r="E48" s="113">
        <f>+'PLAN DE DESARROLLO 2024 - 2027'!K104</f>
        <v>0.86307692307692307</v>
      </c>
    </row>
    <row r="52" spans="3:6" ht="72" customHeight="1" x14ac:dyDescent="0.3">
      <c r="C52" s="10"/>
      <c r="D52" s="85" t="s">
        <v>2530</v>
      </c>
      <c r="E52" s="789" t="s">
        <v>2534</v>
      </c>
      <c r="F52" s="79" t="s">
        <v>1585</v>
      </c>
    </row>
    <row r="53" spans="3:6" ht="36" x14ac:dyDescent="0.35">
      <c r="C53" s="89" t="str">
        <f>+'PLAN DE DESARROLLO 2024 - 2027'!B105</f>
        <v xml:space="preserve"> Economía Popular y Emprendimiento
</v>
      </c>
      <c r="D53" s="786">
        <f>+O9</f>
        <v>0.48483416666666668</v>
      </c>
      <c r="E53" s="1051">
        <f>+'PLAN DE DESARROLLO 2024 - 2027'!K105</f>
        <v>0.39236458333333335</v>
      </c>
    </row>
    <row r="54" spans="3:6" ht="33.6" customHeight="1" x14ac:dyDescent="0.3">
      <c r="C54" s="87" t="str">
        <f>+'PLAN DE DESARROLLO 2024 - 2027'!B106</f>
        <v xml:space="preserve"> AVANZAMOS CON CAPACIDADES EMPRENDEDORAS</v>
      </c>
      <c r="D54" s="82">
        <f>+'PLAN DE DESARROLLO 2024 - 2027'!M106</f>
        <v>0.34800000000000003</v>
      </c>
      <c r="E54" s="1056">
        <f>+'PLAN DE DESARROLLO 2024 - 2027'!K106</f>
        <v>0.3838333333333333</v>
      </c>
    </row>
    <row r="55" spans="3:6" ht="41.4" customHeight="1" x14ac:dyDescent="0.3">
      <c r="C55" s="87" t="str">
        <f>+'PLAN DE DESARROLLO 2024 - 2027'!B107</f>
        <v xml:space="preserve"> AVANZAMOS PARA FORTALECER LA ECONOMÍA POPULAR Y GENERAR MEJORES INGRESOS PARA NUESTRAS FAMILIAS</v>
      </c>
      <c r="D55" s="82">
        <f>+'PLAN DE DESARROLLO 2024 - 2027'!M107</f>
        <v>0.61399999999999999</v>
      </c>
      <c r="E55" s="113">
        <f>+'PLAN DE DESARROLLO 2024 - 2027'!K107</f>
        <v>0.46825</v>
      </c>
    </row>
    <row r="56" spans="3:6" ht="41.4" customHeight="1" x14ac:dyDescent="0.3">
      <c r="C56" s="87" t="s">
        <v>1712</v>
      </c>
      <c r="D56" s="82">
        <f>+'PLAN DE DESARROLLO 2024 - 2027'!M109</f>
        <v>0.13416666666666666</v>
      </c>
      <c r="E56" s="115">
        <f>+'PLAN DE DESARROLLO 2024 - 2027'!K109</f>
        <v>0.13416666666666666</v>
      </c>
    </row>
    <row r="57" spans="3:6" ht="40.950000000000003" customHeight="1" x14ac:dyDescent="0.3">
      <c r="C57" s="87" t="str">
        <f>+'PLAN DE DESARROLLO 2024 - 2027'!B108</f>
        <v xml:space="preserve"> CARTAGENA FOMENTA LA INCLUSIÓN PRODUCTIVA JUVENIL</v>
      </c>
      <c r="D57" s="82">
        <f>+'PLAN DE DESARROLLO 2024 - 2027'!M108</f>
        <v>0.56505833333333333</v>
      </c>
      <c r="E57" s="113">
        <f>+'PLAN DE DESARROLLO 2024 - 2027'!K108</f>
        <v>0.58320833333333333</v>
      </c>
    </row>
    <row r="60" spans="3:6" ht="67.2" customHeight="1" x14ac:dyDescent="0.3">
      <c r="C60" s="10"/>
      <c r="D60" s="85" t="s">
        <v>2530</v>
      </c>
      <c r="E60" s="789" t="s">
        <v>2535</v>
      </c>
      <c r="F60" s="79" t="s">
        <v>1585</v>
      </c>
    </row>
    <row r="61" spans="3:6" ht="52.2" customHeight="1" x14ac:dyDescent="0.35">
      <c r="C61" s="89" t="str">
        <f>+'PLAN DE DESARROLLO 2024 - 2027'!B110</f>
        <v xml:space="preserve">Turismo Sostenible y Responsable
</v>
      </c>
      <c r="D61" s="786">
        <f>+O10</f>
        <v>0.46027253772184246</v>
      </c>
      <c r="E61" s="117">
        <f>+'PLAN DE DESARROLLO 2024 - 2027'!K110</f>
        <v>0.51483556384227602</v>
      </c>
    </row>
    <row r="62" spans="3:6" ht="30" customHeight="1" x14ac:dyDescent="0.3">
      <c r="C62" s="87" t="str">
        <f>+'PLAN DE DESARROLLO 2024 - 2027'!B113</f>
        <v xml:space="preserve"> PROMOCIÓN TURÍSTICA</v>
      </c>
      <c r="D62" s="82">
        <f>+'PLAN DE DESARROLLO 2024 - 2027'!M113</f>
        <v>0.63250000000000006</v>
      </c>
      <c r="E62" s="113">
        <f>+'PLAN DE DESARROLLO 2024 - 2027'!K113</f>
        <v>0.69166666666666665</v>
      </c>
    </row>
    <row r="63" spans="3:6" ht="30" customHeight="1" x14ac:dyDescent="0.3">
      <c r="C63" s="87" t="str">
        <f>+'PLAN DE DESARROLLO 2024 - 2027'!B111</f>
        <v xml:space="preserve"> SEGURIDAD, VIGILANCIA Y CONTROL PARA UN TURISMO RESPONSABLE</v>
      </c>
      <c r="D63" s="82">
        <f>+'PLAN DE DESARROLLO 2024 - 2027'!M111</f>
        <v>0.38048611111111108</v>
      </c>
      <c r="E63" s="1056">
        <f>+'PLAN DE DESARROLLO 2024 - 2027'!K111</f>
        <v>0.40173611111111107</v>
      </c>
    </row>
    <row r="64" spans="3:6" ht="30" customHeight="1" x14ac:dyDescent="0.3">
      <c r="C64" s="87" t="str">
        <f>+'PLAN DE DESARROLLO 2024 - 2027'!B112</f>
        <v xml:space="preserve"> TURISMO SOSTENIBLE E INCLUYENTE CON LAS COMUNIDADES</v>
      </c>
      <c r="D64" s="82">
        <f>+'PLAN DE DESARROLLO 2024 - 2027'!M112</f>
        <v>0.4207967163869899</v>
      </c>
      <c r="E64" s="113">
        <f>+'PLAN DE DESARROLLO 2024 - 2027'!K112</f>
        <v>0.46258059698915827</v>
      </c>
    </row>
    <row r="65" spans="3:5" ht="30" customHeight="1" x14ac:dyDescent="0.3">
      <c r="C65" s="87" t="str">
        <f>+'PLAN DE DESARROLLO 2024 - 2027'!B114</f>
        <v xml:space="preserve"> INFRAESTRUCTURA TURÍSTICA PARA EL DESARROLLO</v>
      </c>
      <c r="D65" s="82">
        <f>+'PLAN DE DESARROLLO 2024 - 2027'!M114</f>
        <v>0.30080555555555555</v>
      </c>
      <c r="E65" s="1056">
        <f>+'PLAN DE DESARROLLO 2024 - 2027'!K114</f>
        <v>0.35152777777777777</v>
      </c>
    </row>
    <row r="66" spans="3:5" ht="43.95" customHeight="1" x14ac:dyDescent="0.3">
      <c r="C66" s="87" t="str">
        <f>+'PLAN DE DESARROLLO 2024 - 2027'!B115</f>
        <v xml:space="preserve"> GOBERNANZA Y FORTALECIMIENTO INSTITUCIONAL PARA UNA CIUDAD DE DERECHOS, RESPONSABLE Y COMPETITIVA</v>
      </c>
      <c r="D66" s="82">
        <f>+'PLAN DE DESARROLLO 2024 - 2027'!M115</f>
        <v>0.85000000000000009</v>
      </c>
      <c r="E66" s="113">
        <f>+'PLAN DE DESARROLLO 2024 - 2027'!K115</f>
        <v>0.66666666666666663</v>
      </c>
    </row>
    <row r="67" spans="3:5" ht="18" x14ac:dyDescent="0.35">
      <c r="C67" s="94"/>
      <c r="D67" s="95"/>
    </row>
    <row r="68" spans="3:5" ht="66" customHeight="1" x14ac:dyDescent="0.3">
      <c r="C68" s="10"/>
      <c r="D68" s="85" t="s">
        <v>2530</v>
      </c>
      <c r="E68" s="783" t="s">
        <v>2536</v>
      </c>
    </row>
    <row r="69" spans="3:5" ht="33" customHeight="1" x14ac:dyDescent="0.35">
      <c r="C69" s="89" t="str">
        <f>+'PLAN DE DESARROLLO 2024 - 2027'!B116</f>
        <v xml:space="preserve"> Desarrollo Agropecuario 
</v>
      </c>
      <c r="D69" s="786">
        <f>+O11</f>
        <v>0.45634263977502848</v>
      </c>
      <c r="E69" s="1051">
        <f>+'PLAN DE DESARROLLO 2024 - 2027'!K116</f>
        <v>0.40940952229628164</v>
      </c>
    </row>
    <row r="70" spans="3:5" ht="41.4" customHeight="1" x14ac:dyDescent="0.3">
      <c r="C70" s="87" t="str">
        <f>+'PLAN DE DESARROLLO 2024 - 2027'!B117</f>
        <v xml:space="preserve"> INCLUSIÓN PRODUCTIVA Y SOCIAL DE LA AGRICULTURA CAMPESINA, FAMILIAR Y COMUNITARIA</v>
      </c>
      <c r="D70" s="82">
        <f>+'PLAN DE DESARROLLO 2024 - 2027'!M117</f>
        <v>0.46807583474816072</v>
      </c>
      <c r="E70" s="113">
        <f>+'PLAN DE DESARROLLO 2024 - 2027'!K117</f>
        <v>0.46807583474816078</v>
      </c>
    </row>
    <row r="71" spans="3:5" ht="59.4" customHeight="1" x14ac:dyDescent="0.3">
      <c r="C71" s="87" t="str">
        <f>+'PLAN DE DESARROLLO 2024 - 2027'!B118</f>
        <v xml:space="preserve"> EXTENSIÓN AGROPECUARIA, INFRAESTRUCTURA Y ACTIVOS PRODUCTIVOS PARA LA COMPETITIVIDAD AGROPECUARIA Y LA SOBERANÍA ALIMENTARIA</v>
      </c>
      <c r="D71" s="82">
        <f>+'PLAN DE DESARROLLO 2024 - 2027'!M118</f>
        <v>0.42956188389923333</v>
      </c>
      <c r="E71" s="1056">
        <f>+'PLAN DE DESARROLLO 2024 - 2027'!K118</f>
        <v>0.40181939880735063</v>
      </c>
    </row>
    <row r="72" spans="3:5" ht="30" customHeight="1" x14ac:dyDescent="0.3">
      <c r="C72" s="87" t="str">
        <f>+'PLAN DE DESARROLLO 2024 - 2027'!B119</f>
        <v xml:space="preserve"> CARTAGENA CIUDAD DE PESCADORES</v>
      </c>
      <c r="D72" s="82">
        <f>+'PLAN DE DESARROLLO 2024 - 2027'!M119</f>
        <v>0.40749999999999997</v>
      </c>
      <c r="E72" s="1056">
        <f>+'PLAN DE DESARROLLO 2024 - 2027'!K119</f>
        <v>0.35833333333333334</v>
      </c>
    </row>
    <row r="73" spans="3:5" x14ac:dyDescent="0.3">
      <c r="D73" s="95"/>
    </row>
    <row r="74" spans="3:5" x14ac:dyDescent="0.3">
      <c r="D74" s="95"/>
    </row>
    <row r="75" spans="3:5" x14ac:dyDescent="0.3">
      <c r="D75" s="95"/>
    </row>
    <row r="76" spans="3:5" x14ac:dyDescent="0.3">
      <c r="C76" s="93"/>
      <c r="D76" s="95"/>
    </row>
    <row r="77" spans="3:5" ht="73.2" customHeight="1" x14ac:dyDescent="0.3">
      <c r="C77" s="10"/>
      <c r="D77" s="85" t="s">
        <v>2530</v>
      </c>
      <c r="E77" s="783" t="s">
        <v>2537</v>
      </c>
    </row>
    <row r="78" spans="3:5" ht="60" customHeight="1" x14ac:dyDescent="0.35">
      <c r="C78" s="89" t="str">
        <f>+'PLAN DE DESARROLLO 2024 - 2027'!B120</f>
        <v xml:space="preserve">Sistema Integral de Abastecimiento del Distrito
</v>
      </c>
      <c r="D78" s="786">
        <f>+O12</f>
        <v>0.33761249999999998</v>
      </c>
      <c r="E78" s="1051">
        <f>+'PLAN DE DESARROLLO 2024 - 2027'!K120</f>
        <v>0.35954444444444444</v>
      </c>
    </row>
    <row r="79" spans="3:5" ht="48" customHeight="1" x14ac:dyDescent="0.3">
      <c r="C79" s="87" t="str">
        <f>+'PLAN DE DESARROLLO 2024 - 2027'!B121</f>
        <v xml:space="preserve"> DESARROLLO DEL NUEVO SISTEMA DE MERCADOS DEL DISTRITO</v>
      </c>
      <c r="D79" s="82">
        <f>+'PLAN DE DESARROLLO 2024 - 2027'!M121</f>
        <v>0.23833333333333331</v>
      </c>
      <c r="E79" s="943">
        <f>+'PLAN DE DESARROLLO 2024 - 2027'!K121</f>
        <v>0.15888888888888889</v>
      </c>
    </row>
    <row r="80" spans="3:5" ht="28.95" customHeight="1" x14ac:dyDescent="0.3">
      <c r="C80" s="87" t="str">
        <f>+'PLAN DE DESARROLLO 2024 - 2027'!B122</f>
        <v xml:space="preserve"> GESTIÓN INTEGRAL DEL SISTEMA DE MERCADOS</v>
      </c>
      <c r="D80" s="82">
        <f>+'PLAN DE DESARROLLO 2024 - 2027'!M122</f>
        <v>0.63544999999999996</v>
      </c>
      <c r="E80" s="113">
        <f>+'PLAN DE DESARROLLO 2024 - 2027'!K122</f>
        <v>0.56020000000000003</v>
      </c>
    </row>
    <row r="81" spans="3:4" ht="18" x14ac:dyDescent="0.35">
      <c r="C81" s="94"/>
      <c r="D81" s="95"/>
    </row>
    <row r="82" spans="3:4" ht="18" x14ac:dyDescent="0.35">
      <c r="C82" s="94"/>
      <c r="D82" s="95"/>
    </row>
    <row r="87" spans="3:4" ht="55.95" customHeight="1" x14ac:dyDescent="0.3">
      <c r="C87" s="10"/>
      <c r="D87" s="783" t="s">
        <v>2527</v>
      </c>
    </row>
    <row r="88" spans="3:4" ht="67.95" customHeight="1" x14ac:dyDescent="0.35">
      <c r="C88" s="89" t="str">
        <f t="shared" ref="C88:C95" si="1">+M5</f>
        <v xml:space="preserve"> DESARROLLO ECONÓMICO EQUITATIVO
</v>
      </c>
      <c r="D88" s="1060">
        <f>+'PLAN DE DESARROLLO 2024 - 2027'!I92</f>
        <v>0.7753023577263406</v>
      </c>
    </row>
    <row r="89" spans="3:4" ht="31.2" x14ac:dyDescent="0.3">
      <c r="C89" s="98" t="str">
        <f t="shared" si="1"/>
        <v xml:space="preserve"> Competitividad e innovación
</v>
      </c>
      <c r="D89" s="329">
        <f>+'PLAN DE DESARROLLO 2024 - 2027'!I93</f>
        <v>0.72499999999999998</v>
      </c>
    </row>
    <row r="90" spans="3:4" ht="60" customHeight="1" x14ac:dyDescent="0.3">
      <c r="C90" s="98" t="str">
        <f t="shared" si="1"/>
        <v xml:space="preserve"> Diversificación Económica
</v>
      </c>
      <c r="D90" s="1288">
        <f>+'PLAN DE DESARROLLO 2024 - 2027'!I96</f>
        <v>0.82645833333333329</v>
      </c>
    </row>
    <row r="91" spans="3:4" ht="61.2" customHeight="1" x14ac:dyDescent="0.3">
      <c r="C91" s="98" t="str">
        <f t="shared" si="1"/>
        <v xml:space="preserve"> Trabajo Decente y Cierre de Brechas Laborales
</v>
      </c>
      <c r="D91" s="1061">
        <f>+'PLAN DE DESARROLLO 2024 - 2027'!I101</f>
        <v>0.87481481481481482</v>
      </c>
    </row>
    <row r="92" spans="3:4" ht="31.2" x14ac:dyDescent="0.3">
      <c r="C92" s="98" t="str">
        <f t="shared" si="1"/>
        <v xml:space="preserve"> Economía Popular y Emprendimiento
</v>
      </c>
      <c r="D92" s="329">
        <f>+'PLAN DE DESARROLLO 2024 - 2027'!I105</f>
        <v>0.68520833333333331</v>
      </c>
    </row>
    <row r="93" spans="3:4" ht="31.2" x14ac:dyDescent="0.3">
      <c r="C93" s="98" t="str">
        <f t="shared" si="1"/>
        <v xml:space="preserve">Turismo Sostenible y Responsable
</v>
      </c>
      <c r="D93" s="1061">
        <f>+'PLAN DE DESARROLLO 2024 - 2027'!I110</f>
        <v>0.81744444444444453</v>
      </c>
    </row>
    <row r="94" spans="3:4" ht="31.2" x14ac:dyDescent="0.3">
      <c r="C94" s="98" t="str">
        <f t="shared" si="1"/>
        <v xml:space="preserve"> Desarrollo Agropecuario 
</v>
      </c>
      <c r="D94" s="1061">
        <f>+'PLAN DE DESARROLLO 2024 - 2027'!I116</f>
        <v>0.78319057815845816</v>
      </c>
    </row>
    <row r="95" spans="3:4" ht="61.2" customHeight="1" x14ac:dyDescent="0.3">
      <c r="C95" s="98" t="str">
        <f t="shared" si="1"/>
        <v xml:space="preserve">Sistema Integral de Abastecimiento del Distrito
</v>
      </c>
      <c r="D95" s="329">
        <f>+'PLAN DE DESARROLLO 2024 - 2027'!I120</f>
        <v>0.71499999999999997</v>
      </c>
    </row>
    <row r="99" spans="3:7" x14ac:dyDescent="0.3">
      <c r="C99" s="1439" t="s">
        <v>1844</v>
      </c>
      <c r="D99" s="1439"/>
      <c r="E99" s="1439"/>
    </row>
    <row r="100" spans="3:7" x14ac:dyDescent="0.3">
      <c r="C100" s="1439"/>
      <c r="D100" s="1439"/>
      <c r="E100" s="1439"/>
    </row>
    <row r="101" spans="3:7" ht="45.6" customHeight="1" x14ac:dyDescent="0.3">
      <c r="C101" s="1069" t="s">
        <v>2440</v>
      </c>
      <c r="D101" s="90" t="s">
        <v>2528</v>
      </c>
      <c r="E101" s="119" t="s">
        <v>1586</v>
      </c>
    </row>
    <row r="102" spans="3:7" ht="53.4" customHeight="1" x14ac:dyDescent="0.3">
      <c r="C102" s="1059" t="s">
        <v>1712</v>
      </c>
      <c r="D102" s="115">
        <v>0.12583333333333332</v>
      </c>
      <c r="E102" s="1071" t="s">
        <v>2441</v>
      </c>
      <c r="G102" s="87"/>
    </row>
    <row r="103" spans="3:7" ht="47.4" customHeight="1" x14ac:dyDescent="0.3">
      <c r="C103" s="1059" t="s">
        <v>1721</v>
      </c>
      <c r="D103" s="943">
        <v>0.15888888888888889</v>
      </c>
      <c r="E103" s="1068" t="s">
        <v>2347</v>
      </c>
    </row>
  </sheetData>
  <sheetProtection password="DF7C" sheet="1" objects="1" scenarios="1"/>
  <mergeCells count="3">
    <mergeCell ref="M2:O3"/>
    <mergeCell ref="C99:E100"/>
    <mergeCell ref="C2:F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2:P147"/>
  <sheetViews>
    <sheetView topLeftCell="B1" zoomScale="40" zoomScaleNormal="40" workbookViewId="0">
      <selection activeCell="N120" sqref="N120"/>
    </sheetView>
  </sheetViews>
  <sheetFormatPr baseColWidth="10" defaultRowHeight="14.4" x14ac:dyDescent="0.3"/>
  <cols>
    <col min="3" max="3" width="58.6640625" customWidth="1"/>
    <col min="4" max="4" width="45.33203125" customWidth="1"/>
    <col min="5" max="5" width="56.33203125" customWidth="1"/>
    <col min="6" max="6" width="36.33203125" customWidth="1"/>
    <col min="7" max="7" width="60" customWidth="1"/>
    <col min="8" max="8" width="29.33203125" customWidth="1"/>
    <col min="9" max="9" width="42.6640625" customWidth="1"/>
    <col min="14" max="14" width="39.6640625" customWidth="1"/>
    <col min="15" max="15" width="35.33203125" customWidth="1"/>
    <col min="16" max="16" width="40.44140625" customWidth="1"/>
  </cols>
  <sheetData>
    <row r="2" spans="3:16" ht="14.4" customHeight="1" x14ac:dyDescent="0.3">
      <c r="C2" s="1438" t="s">
        <v>2538</v>
      </c>
      <c r="D2" s="1438"/>
      <c r="E2" s="1438"/>
      <c r="F2" s="1438"/>
    </row>
    <row r="3" spans="3:16" ht="61.2" customHeight="1" x14ac:dyDescent="0.3">
      <c r="C3" s="1438"/>
      <c r="D3" s="1438"/>
      <c r="E3" s="1438"/>
      <c r="F3" s="1438"/>
      <c r="N3" s="1432" t="s">
        <v>2457</v>
      </c>
      <c r="O3" s="1433"/>
      <c r="P3" s="1434"/>
    </row>
    <row r="4" spans="3:16" ht="57.6" customHeight="1" x14ac:dyDescent="0.3">
      <c r="C4" s="84"/>
      <c r="D4" s="784" t="s">
        <v>1987</v>
      </c>
      <c r="E4" s="784" t="s">
        <v>2518</v>
      </c>
      <c r="F4" s="784" t="s">
        <v>1988</v>
      </c>
      <c r="N4" s="1435"/>
      <c r="O4" s="1436"/>
      <c r="P4" s="1437"/>
    </row>
    <row r="5" spans="3:16" ht="55.95" customHeight="1" x14ac:dyDescent="0.35">
      <c r="C5" s="96" t="str">
        <f>+'PLAN DE DESARROLLO 2024 - 2027'!B123</f>
        <v xml:space="preserve">CARTAGENA CIUDAD CONECTADA Y SOSTENIBLE
</v>
      </c>
      <c r="D5" s="782">
        <f>+'PLAN DE DESARROLLO 2024 - 2027'!F123</f>
        <v>0.45219100013434554</v>
      </c>
      <c r="E5" s="1291">
        <f>+'PLAN DE DESARROLLO 2024 - 2027'!K123</f>
        <v>0.48114752787939219</v>
      </c>
      <c r="F5" s="791">
        <v>0.22160323916687383</v>
      </c>
      <c r="N5" s="84"/>
      <c r="O5" s="85" t="s">
        <v>1989</v>
      </c>
      <c r="P5" s="85" t="s">
        <v>2519</v>
      </c>
    </row>
    <row r="6" spans="3:16" ht="54.6" customHeight="1" x14ac:dyDescent="0.35">
      <c r="C6" s="86" t="str">
        <f>+'PLAN DE DESARROLLO 2024 - 2027'!B124</f>
        <v xml:space="preserve"> Ordenamiento del Territorio y espacio público.
</v>
      </c>
      <c r="D6" s="103">
        <f>+'PLAN DE DESARROLLO 2024 - 2027'!F124</f>
        <v>0.46391147747747752</v>
      </c>
      <c r="E6" s="113">
        <f>+'PLAN DE DESARROLLO 2024 - 2027'!K124</f>
        <v>0.45684270833333329</v>
      </c>
      <c r="F6" s="129">
        <v>0.23386643243243244</v>
      </c>
      <c r="N6" s="96" t="str">
        <f t="shared" ref="N6:N13" si="0">+C5</f>
        <v xml:space="preserve">CARTAGENA CIUDAD CONECTADA Y SOSTENIBLE
</v>
      </c>
      <c r="O6" s="105">
        <f>+'PLAN DE DESARROLLO 2024 - 2027'!H123+'PLAN DE DESARROLLO 2024 - 2027'!G123</f>
        <v>0.39932063331285683</v>
      </c>
      <c r="P6" s="103">
        <f>+'PLAN DE DESARROLLO 2024 - 2027'!M123</f>
        <v>0.37052459010275579</v>
      </c>
    </row>
    <row r="7" spans="3:16" ht="48" customHeight="1" x14ac:dyDescent="0.3">
      <c r="C7" s="86" t="str">
        <f>+'PLAN DE DESARROLLO 2024 - 2027'!B127</f>
        <v xml:space="preserve"> Control Urbanístico y Territorial
</v>
      </c>
      <c r="D7" s="103">
        <f>+'PLAN DE DESARROLLO 2024 - 2027'!F127</f>
        <v>0.28910714285714284</v>
      </c>
      <c r="E7" s="1056">
        <f>+'PLAN DE DESARROLLO 2024 - 2027'!K127</f>
        <v>0.40500089285714286</v>
      </c>
      <c r="F7" s="129">
        <v>0.16672619047619047</v>
      </c>
      <c r="N7" s="86" t="str">
        <f t="shared" si="0"/>
        <v xml:space="preserve"> Ordenamiento del Territorio y espacio público.
</v>
      </c>
      <c r="O7" s="103">
        <f>+'PLAN DE DESARROLLO 2024 - 2027'!H124+'PLAN DE DESARROLLO 2024 - 2027'!G124</f>
        <v>0.42935448648648655</v>
      </c>
      <c r="P7" s="103">
        <f>+'PLAN DE DESARROLLO 2024 - 2027'!M124</f>
        <v>0.54951656666666659</v>
      </c>
    </row>
    <row r="8" spans="3:16" ht="28.8" x14ac:dyDescent="0.3">
      <c r="C8" s="86" t="str">
        <f>+'PLAN DE DESARROLLO 2024 - 2027'!B130</f>
        <v xml:space="preserve"> Cartagena Amigable con el Ambiente 
</v>
      </c>
      <c r="D8" s="103">
        <f>+'PLAN DE DESARROLLO 2024 - 2027'!F130</f>
        <v>0.42034722222222226</v>
      </c>
      <c r="E8" s="1056">
        <f>+'PLAN DE DESARROLLO 2024 - 2027'!K130</f>
        <v>0.37340679841269842</v>
      </c>
      <c r="F8" s="129">
        <v>0.13760416666666669</v>
      </c>
      <c r="N8" s="99" t="str">
        <f t="shared" si="0"/>
        <v xml:space="preserve"> Control Urbanístico y Territorial
</v>
      </c>
      <c r="O8" s="103">
        <f>+'PLAN DE DESARROLLO 2024 - 2027'!H127+'PLAN DE DESARROLLO 2024 - 2027'!G127</f>
        <v>0.45153571428571426</v>
      </c>
      <c r="P8" s="103">
        <f>+'PLAN DE DESARROLLO 2024 - 2027'!M127</f>
        <v>0.4337455357142857</v>
      </c>
    </row>
    <row r="9" spans="3:16" ht="28.8" x14ac:dyDescent="0.3">
      <c r="C9" s="86" t="str">
        <f>+'PLAN DE DESARROLLO 2024 - 2027'!B136</f>
        <v xml:space="preserve"> Cartagena Adaptada al Clima y Resiliente a los Desastres
</v>
      </c>
      <c r="D9" s="103">
        <f>+'PLAN DE DESARROLLO 2024 - 2027'!F136</f>
        <v>0.57466101842657324</v>
      </c>
      <c r="E9" s="113">
        <f>+'PLAN DE DESARROLLO 2024 - 2027'!K136</f>
        <v>0.6222393044098441</v>
      </c>
      <c r="F9" s="129">
        <v>0.34751855340367338</v>
      </c>
      <c r="N9" s="86" t="str">
        <f t="shared" si="0"/>
        <v xml:space="preserve"> Cartagena Amigable con el Ambiente 
</v>
      </c>
      <c r="O9" s="103">
        <f>+'PLAN DE DESARROLLO 2024 - 2027'!H130+'PLAN DE DESARROLLO 2024 - 2027'!G130</f>
        <v>0.32091666666666663</v>
      </c>
      <c r="P9" s="103">
        <f>+'PLAN DE DESARROLLO 2024 - 2027'!M130</f>
        <v>0.27470192500000001</v>
      </c>
    </row>
    <row r="10" spans="3:16" ht="49.95" customHeight="1" x14ac:dyDescent="0.3">
      <c r="C10" s="86" t="str">
        <f>+'PLAN DE DESARROLLO 2024 - 2027'!B143</f>
        <v xml:space="preserve">Ciudad Histórica y Patrimonial
</v>
      </c>
      <c r="D10" s="103">
        <f>+'PLAN DE DESARROLLO 2024 - 2027'!F143</f>
        <v>0.45013730158730159</v>
      </c>
      <c r="E10" s="114">
        <f>+'PLAN DE DESARROLLO 2024 - 2027'!K143</f>
        <v>0.33279166666666665</v>
      </c>
      <c r="F10" s="129">
        <v>0.15124841269841269</v>
      </c>
      <c r="N10" s="86" t="str">
        <f t="shared" si="0"/>
        <v xml:space="preserve"> Cartagena Adaptada al Clima y Resiliente a los Desastres
</v>
      </c>
      <c r="O10" s="103">
        <f>+'PLAN DE DESARROLLO 2024 - 2027'!H136+'PLAN DE DESARROLLO 2024 - 2027'!G136</f>
        <v>0.45310010038270909</v>
      </c>
      <c r="P10" s="103">
        <f>+'PLAN DE DESARROLLO 2024 - 2027'!M136</f>
        <v>0.56432627484958808</v>
      </c>
    </row>
    <row r="11" spans="3:16" ht="43.95" customHeight="1" x14ac:dyDescent="0.3">
      <c r="C11" s="86" t="str">
        <f>+'PLAN DE DESARROLLO 2024 - 2027'!B147</f>
        <v xml:space="preserve">Infraestructura, Movilidad Sostenible y Accesibilidad para Todos
</v>
      </c>
      <c r="D11" s="103">
        <f>+'PLAN DE DESARROLLO 2024 - 2027'!F147</f>
        <v>0.61280234536891931</v>
      </c>
      <c r="E11" s="113">
        <f>+'PLAN DE DESARROLLO 2024 - 2027'!K147</f>
        <v>0.63722474587285305</v>
      </c>
      <c r="F11" s="129">
        <v>0.28704669626851897</v>
      </c>
      <c r="N11" s="86" t="str">
        <f t="shared" si="0"/>
        <v xml:space="preserve">Ciudad Histórica y Patrimonial
</v>
      </c>
      <c r="O11" s="103">
        <f>+'PLAN DE DESARROLLO 2024 - 2027'!H143+'PLAN DE DESARROLLO 2024 - 2027'!G143</f>
        <v>0.41069444444444447</v>
      </c>
      <c r="P11" s="103">
        <f>+'PLAN DE DESARROLLO 2024 - 2027'!M143</f>
        <v>0.22288787500000001</v>
      </c>
    </row>
    <row r="12" spans="3:16" ht="43.2" x14ac:dyDescent="0.3">
      <c r="C12" s="86" t="str">
        <f>+'PLAN DE DESARROLLO 2024 - 2027'!B153</f>
        <v xml:space="preserve">Cartagena Ordenada Alrededor del Agua
</v>
      </c>
      <c r="D12" s="103">
        <f>+'PLAN DE DESARROLLO 2024 - 2027'!F153</f>
        <v>0.46629952380952377</v>
      </c>
      <c r="E12" s="113">
        <f>+'PLAN DE DESARROLLO 2024 - 2027'!K153</f>
        <v>0.51947152777777772</v>
      </c>
      <c r="F12" s="129">
        <v>0.22721222222222223</v>
      </c>
      <c r="N12" s="86" t="str">
        <f t="shared" si="0"/>
        <v xml:space="preserve">Infraestructura, Movilidad Sostenible y Accesibilidad para Todos
</v>
      </c>
      <c r="O12" s="103">
        <f>+'PLAN DE DESARROLLO 2024 - 2027'!H147+'PLAN DE DESARROLLO 2024 - 2027'!G147</f>
        <v>0.56085977039114832</v>
      </c>
      <c r="P12" s="103">
        <f>+'PLAN DE DESARROLLO 2024 - 2027'!M147</f>
        <v>0.23815278753134994</v>
      </c>
    </row>
    <row r="13" spans="3:16" ht="28.8" x14ac:dyDescent="0.3">
      <c r="C13" s="10" t="str">
        <f>+'PLAN DE DESARROLLO 2024 - 2027'!B159</f>
        <v xml:space="preserve"> Integración Regional y Metropolitana
</v>
      </c>
      <c r="D13" s="103">
        <v>0</v>
      </c>
      <c r="E13" s="792"/>
      <c r="F13" s="10"/>
      <c r="N13" s="86" t="str">
        <f t="shared" si="0"/>
        <v xml:space="preserve">Cartagena Ordenada Alrededor del Agua
</v>
      </c>
      <c r="O13" s="103">
        <f>+'PLAN DE DESARROLLO 2024 - 2027'!H153+'PLAN DE DESARROLLO 2024 - 2027'!G153</f>
        <v>0.41881250000000003</v>
      </c>
      <c r="P13" s="103">
        <f>+'PLAN DE DESARROLLO 2024 - 2027'!M153</f>
        <v>0.42935424999999999</v>
      </c>
    </row>
    <row r="46" spans="3:7" ht="65.400000000000006" customHeight="1" x14ac:dyDescent="0.3">
      <c r="C46" s="10"/>
      <c r="D46" s="85" t="s">
        <v>2530</v>
      </c>
      <c r="E46" s="783" t="s">
        <v>2539</v>
      </c>
      <c r="G46" s="91" t="s">
        <v>1585</v>
      </c>
    </row>
    <row r="47" spans="3:7" ht="51" customHeight="1" x14ac:dyDescent="0.35">
      <c r="C47" s="89" t="str">
        <f>+'PLAN DE DESARROLLO 2024 - 2027'!B124</f>
        <v xml:space="preserve"> Ordenamiento del Territorio y espacio público.
</v>
      </c>
      <c r="D47" s="782">
        <f>+P7</f>
        <v>0.54951656666666659</v>
      </c>
      <c r="E47" s="117">
        <f>+'PLAN DE DESARROLLO 2024 - 2027'!K124</f>
        <v>0.45684270833333329</v>
      </c>
      <c r="G47" t="s">
        <v>1585</v>
      </c>
    </row>
    <row r="48" spans="3:7" ht="34.950000000000003" customHeight="1" x14ac:dyDescent="0.3">
      <c r="C48" s="87" t="str">
        <f>+'PLAN DE DESARROLLO 2024 - 2027'!B125</f>
        <v xml:space="preserve"> INSTRUMENTOS DE PLANIFICACIÓN TERRITORIAL</v>
      </c>
      <c r="D48" s="103">
        <f>+'PLAN DE DESARROLLO 2024 - 2027'!M125</f>
        <v>0.55102366666666669</v>
      </c>
      <c r="E48" s="114">
        <f>+'PLAN DE DESARROLLO 2024 - 2027'!K125</f>
        <v>0.34278541666666668</v>
      </c>
    </row>
    <row r="49" spans="3:7" ht="29.4" customHeight="1" x14ac:dyDescent="0.3">
      <c r="C49" s="87" t="str">
        <f>+'PLAN DE DESARROLLO 2024 - 2027'!B126</f>
        <v xml:space="preserve"> RECUPERACIÓN Y TRANSFORMACIÓN DEL ESPACIO PÚBLICO</v>
      </c>
      <c r="D49" s="103">
        <f>+'PLAN DE DESARROLLO 2024 - 2027'!M126</f>
        <v>0.54600000000000004</v>
      </c>
      <c r="E49" s="113">
        <f>+'PLAN DE DESARROLLO 2024 - 2027'!K126</f>
        <v>0.57089999999999996</v>
      </c>
    </row>
    <row r="50" spans="3:7" ht="29.4" customHeight="1" x14ac:dyDescent="0.3">
      <c r="C50" s="93"/>
      <c r="D50" s="101"/>
    </row>
    <row r="51" spans="3:7" ht="29.4" customHeight="1" x14ac:dyDescent="0.3">
      <c r="C51" s="93"/>
      <c r="D51" s="101"/>
    </row>
    <row r="52" spans="3:7" ht="28.8" x14ac:dyDescent="0.3">
      <c r="G52" s="91" t="s">
        <v>1585</v>
      </c>
    </row>
    <row r="53" spans="3:7" x14ac:dyDescent="0.3">
      <c r="C53" s="91"/>
      <c r="G53" s="91"/>
    </row>
    <row r="54" spans="3:7" ht="51.6" customHeight="1" x14ac:dyDescent="0.3">
      <c r="C54" s="10"/>
      <c r="D54" s="85" t="s">
        <v>2530</v>
      </c>
      <c r="E54" s="783" t="s">
        <v>2540</v>
      </c>
      <c r="F54" s="79" t="s">
        <v>1585</v>
      </c>
    </row>
    <row r="55" spans="3:7" ht="70.95" customHeight="1" x14ac:dyDescent="0.35">
      <c r="C55" s="89" t="str">
        <f>+'PLAN DE DESARROLLO 2024 - 2027'!B127</f>
        <v xml:space="preserve"> Control Urbanístico y Territorial
</v>
      </c>
      <c r="D55" s="782">
        <f>+P8</f>
        <v>0.4337455357142857</v>
      </c>
      <c r="E55" s="1060">
        <f>+'PLAN DE DESARROLLO 2024 - 2027'!K127</f>
        <v>0.40500089285714286</v>
      </c>
    </row>
    <row r="56" spans="3:7" ht="43.95" customHeight="1" x14ac:dyDescent="0.3">
      <c r="C56" s="87" t="str">
        <f>+'PLAN DE DESARROLLO 2024 - 2027'!B129</f>
        <v xml:space="preserve"> CARTAGENA AVANZA EN EL FORTALECIMIENTO DEL PLAN DE NORMALIZACIÓN URBANÍSTICA</v>
      </c>
      <c r="D56" s="103">
        <f>+'PLAN DE DESARROLLO 2024 - 2027'!M129</f>
        <v>0.33998214285714284</v>
      </c>
      <c r="E56" s="1061">
        <f>+'PLAN DE DESARROLLO 2024 - 2027'!K129</f>
        <v>0.43000178571428571</v>
      </c>
    </row>
    <row r="57" spans="3:7" ht="43.95" customHeight="1" x14ac:dyDescent="0.3">
      <c r="C57" s="87" t="str">
        <f>+'PLAN DE DESARROLLO 2024 - 2027'!B128</f>
        <v xml:space="preserve"> RECUPERANDO LA GOBERNANZA URBANÍSTICA, CARTAGENA VUELVE A BRILLAR</v>
      </c>
      <c r="D57" s="103">
        <f>+'PLAN DE DESARROLLO 2024 - 2027'!M128</f>
        <v>0.46499999999999997</v>
      </c>
      <c r="E57" s="1061">
        <f>+'PLAN DE DESARROLLO 2024 - 2027'!K128</f>
        <v>0.38</v>
      </c>
    </row>
    <row r="59" spans="3:7" ht="52.95" customHeight="1" x14ac:dyDescent="0.3">
      <c r="C59" s="10"/>
      <c r="D59" s="85" t="s">
        <v>2530</v>
      </c>
      <c r="E59" s="783" t="s">
        <v>2541</v>
      </c>
    </row>
    <row r="60" spans="3:7" ht="69" customHeight="1" x14ac:dyDescent="0.35">
      <c r="C60" s="89" t="str">
        <f>+'PLAN DE DESARROLLO 2024 - 2027'!B130</f>
        <v xml:space="preserve"> Cartagena Amigable con el Ambiente 
</v>
      </c>
      <c r="D60" s="782">
        <f>+P9</f>
        <v>0.27470192500000001</v>
      </c>
      <c r="E60" s="1051">
        <f>+'PLAN DE DESARROLLO 2024 - 2027'!K130</f>
        <v>0.37340679841269842</v>
      </c>
    </row>
    <row r="61" spans="3:7" ht="37.200000000000003" customHeight="1" x14ac:dyDescent="0.3">
      <c r="C61" s="87" t="str">
        <f>+'PLAN DE DESARROLLO 2024 - 2027'!B131</f>
        <v xml:space="preserve"> BIENESTAR ANIMAL Y PROTECCIÓN DE LA VIDA SILVESTRE</v>
      </c>
      <c r="D61" s="103">
        <f>+'PLAN DE DESARROLLO 2024 - 2027'!M131</f>
        <v>0.17025750000000001</v>
      </c>
      <c r="E61" s="114">
        <f>+'PLAN DE DESARROLLO 2024 - 2027'!K131</f>
        <v>0.29423154761904763</v>
      </c>
    </row>
    <row r="62" spans="3:7" ht="48.6" customHeight="1" x14ac:dyDescent="0.3">
      <c r="C62" s="87" t="str">
        <f>+'PLAN DE DESARROLLO 2024 - 2027'!B132</f>
        <v xml:space="preserve"> GESTIÓN Y CONSERVACIÓN DE LA VEGETACIÓN Y LA BIODIVERSIDAD</v>
      </c>
      <c r="D62" s="103">
        <f>+'PLAN DE DESARROLLO 2024 - 2027'!M132</f>
        <v>0.34674833333333333</v>
      </c>
      <c r="E62" s="113">
        <f>+'PLAN DE DESARROLLO 2024 - 2027'!K132</f>
        <v>0.3803111111111111</v>
      </c>
    </row>
    <row r="63" spans="3:7" ht="48.6" customHeight="1" x14ac:dyDescent="0.3">
      <c r="C63" s="87" t="str">
        <f>+'PLAN DE DESARROLLO 2024 - 2027'!B133</f>
        <v xml:space="preserve"> ALERTAS TEMPRANAS</v>
      </c>
      <c r="D63" s="103">
        <f>+'PLAN DE DESARROLLO 2024 - 2027'!M133</f>
        <v>0.36</v>
      </c>
      <c r="E63" s="1061">
        <f>+'PLAN DE DESARROLLO 2024 - 2027'!K133</f>
        <v>0.35</v>
      </c>
    </row>
    <row r="64" spans="3:7" ht="31.2" customHeight="1" x14ac:dyDescent="0.3">
      <c r="C64" s="87" t="str">
        <f>+'PLAN DE DESARROLLO 2024 - 2027'!B134</f>
        <v xml:space="preserve"> INVESTIGACIÓN, EDUCACIÓN Y CULTURA AMBIENTAL</v>
      </c>
      <c r="D64" s="103">
        <f>+'PLAN DE DESARROLLO 2024 - 2027'!M134</f>
        <v>0.57688000000000006</v>
      </c>
      <c r="E64" s="113">
        <f>+'PLAN DE DESARROLLO 2024 - 2027'!K134</f>
        <v>0.62986666666666669</v>
      </c>
    </row>
    <row r="65" spans="3:7" ht="34.950000000000003" customHeight="1" x14ac:dyDescent="0.3">
      <c r="C65" s="87" t="str">
        <f>+'PLAN DE DESARROLLO 2024 - 2027'!B135</f>
        <v xml:space="preserve"> GENERACIÓN DE ESPACIOS PÚBLICOS REVITALIZADOS Y ADAPTADOS PARA TODOS</v>
      </c>
      <c r="D65" s="103">
        <f>+'PLAN DE DESARROLLO 2024 - 2027'!M135</f>
        <v>0.13504986666666668</v>
      </c>
      <c r="E65" s="943">
        <f>+'PLAN DE DESARROLLO 2024 - 2027'!K135</f>
        <v>0.21262466666666666</v>
      </c>
    </row>
    <row r="70" spans="3:7" ht="67.95" customHeight="1" x14ac:dyDescent="0.3">
      <c r="C70" s="10"/>
      <c r="D70" s="85" t="s">
        <v>2530</v>
      </c>
      <c r="E70" s="783" t="s">
        <v>2542</v>
      </c>
      <c r="F70" s="79" t="s">
        <v>1585</v>
      </c>
    </row>
    <row r="71" spans="3:7" ht="54" x14ac:dyDescent="0.35">
      <c r="C71" s="89" t="str">
        <f>+'PLAN DE DESARROLLO 2024 - 2027'!B136</f>
        <v xml:space="preserve"> Cartagena Adaptada al Clima y Resiliente a los Desastres
</v>
      </c>
      <c r="D71" s="782">
        <f>+P10</f>
        <v>0.56432627484958808</v>
      </c>
      <c r="E71" s="117">
        <f>+'PLAN DE DESARROLLO 2024 - 2027'!K136</f>
        <v>0.6222393044098441</v>
      </c>
    </row>
    <row r="72" spans="3:7" ht="38.4" customHeight="1" x14ac:dyDescent="0.3">
      <c r="C72" s="87" t="str">
        <f>+'PLAN DE DESARROLLO 2024 - 2027'!B137</f>
        <v xml:space="preserve"> ORDENAMIENTO Y SOSTENIBILIDAD AMBIENTAL</v>
      </c>
      <c r="D72" s="103">
        <f>+'PLAN DE DESARROLLO 2024 - 2027'!M137</f>
        <v>0.36499999999999999</v>
      </c>
      <c r="E72" s="113">
        <f>+'PLAN DE DESARROLLO 2024 - 2027'!K137</f>
        <v>0.59166666666666667</v>
      </c>
    </row>
    <row r="73" spans="3:7" ht="34.200000000000003" customHeight="1" x14ac:dyDescent="0.3">
      <c r="C73" s="87" t="str">
        <f>+'PLAN DE DESARROLLO 2024 - 2027'!B138</f>
        <v xml:space="preserve"> CONOCIMIENTO DEL RIESGO</v>
      </c>
      <c r="D73" s="103">
        <f>+'PLAN DE DESARROLLO 2024 - 2027'!M138</f>
        <v>0.69763636363636361</v>
      </c>
      <c r="E73" s="113">
        <f>+'PLAN DE DESARROLLO 2024 - 2027'!K138</f>
        <v>0.67886363636363634</v>
      </c>
    </row>
    <row r="74" spans="3:7" ht="25.2" customHeight="1" x14ac:dyDescent="0.3">
      <c r="C74" s="87" t="str">
        <f>+'PLAN DE DESARROLLO 2024 - 2027'!B139</f>
        <v xml:space="preserve"> REDUCCIÓN DEL RIESGO</v>
      </c>
      <c r="D74" s="103">
        <f>+'PLAN DE DESARROLLO 2024 - 2027'!M139</f>
        <v>0.68840579710144922</v>
      </c>
      <c r="E74" s="113">
        <f>+'PLAN DE DESARROLLO 2024 - 2027'!K139</f>
        <v>0.74396135265700469</v>
      </c>
    </row>
    <row r="75" spans="3:7" ht="30.6" customHeight="1" x14ac:dyDescent="0.3">
      <c r="C75" s="87" t="str">
        <f>+'PLAN DE DESARROLLO 2024 - 2027'!B140</f>
        <v xml:space="preserve"> MANEJO DE DESASTRES</v>
      </c>
      <c r="D75" s="103">
        <f>+'PLAN DE DESARROLLO 2024 - 2027'!M140</f>
        <v>0.62520689655172412</v>
      </c>
      <c r="E75" s="113">
        <f>+'PLAN DE DESARROLLO 2024 - 2027'!K140</f>
        <v>0.72822988505747122</v>
      </c>
    </row>
    <row r="76" spans="3:7" ht="35.4" customHeight="1" x14ac:dyDescent="0.3">
      <c r="C76" s="87" t="str">
        <f>+'PLAN DE DESARROLLO 2024 - 2027'!B141</f>
        <v xml:space="preserve"> PROTECCIÓN COSTERA</v>
      </c>
      <c r="D76" s="103">
        <f>+'PLAN DE DESARROLLO 2024 - 2027'!M141</f>
        <v>0.2857142857142857</v>
      </c>
      <c r="E76" s="114">
        <f>+'PLAN DE DESARROLLO 2024 - 2027'!K141</f>
        <v>0.2857142857142857</v>
      </c>
    </row>
    <row r="77" spans="3:7" ht="39.6" customHeight="1" x14ac:dyDescent="0.3">
      <c r="C77" s="87" t="str">
        <f>+'PLAN DE DESARROLLO 2024 - 2027'!B142</f>
        <v xml:space="preserve"> ADAPTACIÓN DEL ESPACIO PÚBLICO AL CAMBIO CLIMÁTICO</v>
      </c>
      <c r="D77" s="103">
        <f>+'PLAN DE DESARROLLO 2024 - 2027'!M142</f>
        <v>0.82299999999999995</v>
      </c>
      <c r="E77" s="113">
        <f>+'PLAN DE DESARROLLO 2024 - 2027'!K142</f>
        <v>0.70499999999999996</v>
      </c>
    </row>
    <row r="78" spans="3:7" ht="29.4" customHeight="1" x14ac:dyDescent="0.3">
      <c r="C78" s="93"/>
      <c r="D78" s="95"/>
      <c r="G78" s="91" t="s">
        <v>1585</v>
      </c>
    </row>
    <row r="79" spans="3:7" ht="21.6" customHeight="1" x14ac:dyDescent="0.3">
      <c r="C79" s="93"/>
      <c r="D79" s="95"/>
    </row>
    <row r="80" spans="3:7" ht="20.399999999999999" customHeight="1" x14ac:dyDescent="0.3"/>
    <row r="82" spans="3:11" ht="45.6" customHeight="1" x14ac:dyDescent="0.3">
      <c r="C82" s="10"/>
      <c r="D82" s="85" t="s">
        <v>2530</v>
      </c>
      <c r="E82" s="783" t="s">
        <v>2543</v>
      </c>
      <c r="F82" s="79" t="s">
        <v>1585</v>
      </c>
      <c r="K82" s="91" t="s">
        <v>1585</v>
      </c>
    </row>
    <row r="83" spans="3:11" ht="52.2" customHeight="1" x14ac:dyDescent="0.35">
      <c r="C83" s="89" t="str">
        <f>+'PLAN DE DESARROLLO 2024 - 2027'!B143</f>
        <v xml:space="preserve">Ciudad Histórica y Patrimonial
</v>
      </c>
      <c r="D83" s="782">
        <f>+P11</f>
        <v>0.22288787500000001</v>
      </c>
      <c r="E83" s="1151">
        <f>+'PLAN DE DESARROLLO 2024 - 2027'!K143</f>
        <v>0.33279166666666665</v>
      </c>
    </row>
    <row r="84" spans="3:11" ht="43.2" customHeight="1" x14ac:dyDescent="0.3">
      <c r="C84" s="87" t="str">
        <f>+'PLAN DE DESARROLLO 2024 - 2027'!B144</f>
        <v xml:space="preserve"> SOSTENIBILIDAD DEL ESPACIO PÚBLICO DEL CENTRO HISTÓRICO DE CARTAGENA DE INDIAS.</v>
      </c>
      <c r="D84" s="103">
        <f>+'PLAN DE DESARROLLO 2024 - 2027'!M144</f>
        <v>0.24641750000000001</v>
      </c>
      <c r="E84" s="943">
        <f>+'PLAN DE DESARROLLO 2024 - 2027'!K144</f>
        <v>0.22817499999999999</v>
      </c>
    </row>
    <row r="85" spans="3:11" ht="60.6" customHeight="1" x14ac:dyDescent="0.3">
      <c r="C85" s="87" t="str">
        <f>+'PLAN DE DESARROLLO 2024 - 2027'!B145</f>
        <v xml:space="preserve"> CONEXIÓN ENTRE EL CASTILLO DE SAN FELIPE DE BARAJAS Y SU ÁREA DE INFLUENCIA PARA LA RECUPERACIÓN DEL PATRIMONIO ARQUEOLÓGICO, MATERIAL E INMATERIAL</v>
      </c>
      <c r="D85" s="103">
        <f>+'PLAN DE DESARROLLO 2024 - 2027'!M145</f>
        <v>0.11</v>
      </c>
      <c r="E85" s="115">
        <f>+'PLAN DE DESARROLLO 2024 - 2027'!K145</f>
        <v>0.1452</v>
      </c>
    </row>
    <row r="86" spans="3:11" ht="20.399999999999999" customHeight="1" x14ac:dyDescent="0.3">
      <c r="C86" s="87" t="str">
        <f>+'PLAN DE DESARROLLO 2024 - 2027'!B146</f>
        <v xml:space="preserve"> MURALLA PARA TODOS</v>
      </c>
      <c r="D86" s="103">
        <f>+'PLAN DE DESARROLLO 2024 - 2027'!M146</f>
        <v>0.625</v>
      </c>
      <c r="E86" s="113">
        <f>+'PLAN DE DESARROLLO 2024 - 2027'!K146</f>
        <v>0.625</v>
      </c>
    </row>
    <row r="87" spans="3:11" ht="20.399999999999999" customHeight="1" x14ac:dyDescent="0.3">
      <c r="C87" s="93"/>
      <c r="D87" s="95"/>
    </row>
    <row r="88" spans="3:11" ht="20.399999999999999" customHeight="1" x14ac:dyDescent="0.3">
      <c r="C88" s="93"/>
      <c r="D88" s="95"/>
    </row>
    <row r="89" spans="3:11" ht="20.399999999999999" customHeight="1" x14ac:dyDescent="0.3">
      <c r="C89" s="93"/>
      <c r="D89" s="95"/>
    </row>
    <row r="90" spans="3:11" ht="20.399999999999999" customHeight="1" x14ac:dyDescent="0.3">
      <c r="C90" s="93"/>
      <c r="D90" s="95"/>
    </row>
    <row r="92" spans="3:11" ht="18" x14ac:dyDescent="0.35">
      <c r="C92" s="94"/>
      <c r="D92" s="95"/>
    </row>
    <row r="93" spans="3:11" ht="18" x14ac:dyDescent="0.35">
      <c r="C93" s="94"/>
      <c r="D93" s="95"/>
    </row>
    <row r="94" spans="3:11" ht="67.95" customHeight="1" x14ac:dyDescent="0.3">
      <c r="C94" s="10"/>
      <c r="D94" s="85" t="s">
        <v>2530</v>
      </c>
      <c r="E94" s="790" t="s">
        <v>2544</v>
      </c>
    </row>
    <row r="95" spans="3:11" ht="54" x14ac:dyDescent="0.35">
      <c r="C95" s="89" t="str">
        <f>+'PLAN DE DESARROLLO 2024 - 2027'!B147</f>
        <v xml:space="preserve">Infraestructura, Movilidad Sostenible y Accesibilidad para Todos
</v>
      </c>
      <c r="D95" s="793">
        <f>+P12</f>
        <v>0.23815278753134994</v>
      </c>
      <c r="E95" s="919">
        <f>+'PLAN DE DESARROLLO 2024 - 2027'!K147</f>
        <v>0.63722474587285305</v>
      </c>
      <c r="J95" s="91" t="s">
        <v>1585</v>
      </c>
    </row>
    <row r="96" spans="3:11" ht="40.950000000000003" customHeight="1" x14ac:dyDescent="0.3">
      <c r="C96" s="87" t="str">
        <f>+'PLAN DE DESARROLLO 2024 - 2027'!B149</f>
        <v xml:space="preserve"> REHABILITACIÓN, MANTENIMIENTO, ADECUACIÓN, Y OBRA NUEVA PARA EL SISTEMA VIAL Y ESTRUCTURAS DE PASO</v>
      </c>
      <c r="D96" s="88">
        <f>+'PLAN DE DESARROLLO 2024 - 2027'!M149</f>
        <v>1</v>
      </c>
      <c r="E96" s="330">
        <f>+'PLAN DE DESARROLLO 2024 - 2027'!K149</f>
        <v>1</v>
      </c>
    </row>
    <row r="97" spans="3:10" ht="40.950000000000003" customHeight="1" x14ac:dyDescent="0.3">
      <c r="C97" s="87" t="str">
        <f>+'PLAN DE DESARROLLO 2024 - 2027'!B150</f>
        <v xml:space="preserve"> SOLUCIONES VIALES PARA LA COMPETITIVIDAD A TRAVÉS DE CONTRIBUCIÓN POR VALORIZACIÓN</v>
      </c>
      <c r="D97" s="88">
        <f>+'PLAN DE DESARROLLO 2024 - 2027'!M150</f>
        <v>0.26324999999999998</v>
      </c>
      <c r="E97" s="1290">
        <f>+'PLAN DE DESARROLLO 2024 - 2027'!K150</f>
        <v>0.19499999999999998</v>
      </c>
    </row>
    <row r="98" spans="3:10" ht="34.950000000000003" customHeight="1" x14ac:dyDescent="0.3">
      <c r="C98" s="87" t="str">
        <f>+'PLAN DE DESARROLLO 2024 - 2027'!B151</f>
        <v xml:space="preserve"> MOVILIDAD ORDENADA, SOSTENIBLE Y AMIGABLE CON EL MEDIO AMBIENTE</v>
      </c>
      <c r="D98" s="88">
        <f>+'PLAN DE DESARROLLO 2024 - 2027'!M151</f>
        <v>0.57192798694589131</v>
      </c>
      <c r="E98" s="330">
        <f>+'PLAN DE DESARROLLO 2024 - 2027'!K151</f>
        <v>0.56493453358717383</v>
      </c>
    </row>
    <row r="99" spans="3:10" ht="33.6" customHeight="1" x14ac:dyDescent="0.3">
      <c r="C99" s="87" t="str">
        <f>+'PLAN DE DESARROLLO 2024 - 2027'!B152</f>
        <v xml:space="preserve"> TRANSPORTE MASIVO CONFIABLE, EFICIENTE Y SOSTENIBLE</v>
      </c>
      <c r="D99" s="88">
        <f>+'PLAN DE DESARROLLO 2024 - 2027'!M152</f>
        <v>0.57233044744733119</v>
      </c>
      <c r="E99" s="330">
        <f>+'PLAN DE DESARROLLO 2024 - 2027'!K152</f>
        <v>0.68896444990423822</v>
      </c>
    </row>
    <row r="100" spans="3:10" x14ac:dyDescent="0.3">
      <c r="D100" s="95"/>
    </row>
    <row r="101" spans="3:10" x14ac:dyDescent="0.3">
      <c r="D101" s="95"/>
    </row>
    <row r="102" spans="3:10" x14ac:dyDescent="0.3">
      <c r="D102" s="95"/>
    </row>
    <row r="103" spans="3:10" ht="58.2" customHeight="1" x14ac:dyDescent="0.3">
      <c r="C103" s="10"/>
      <c r="D103" s="85" t="s">
        <v>2530</v>
      </c>
      <c r="E103" s="790" t="s">
        <v>2545</v>
      </c>
    </row>
    <row r="104" spans="3:10" ht="36" x14ac:dyDescent="0.35">
      <c r="C104" s="89" t="str">
        <f>+'PLAN DE DESARROLLO 2024 - 2027'!B153</f>
        <v xml:space="preserve">Cartagena Ordenada Alrededor del Agua
</v>
      </c>
      <c r="D104" s="793">
        <f>+P13</f>
        <v>0.42935424999999999</v>
      </c>
      <c r="E104" s="919">
        <f>+'PLAN DE DESARROLLO 2024 - 2027'!K153</f>
        <v>0.51947152777777772</v>
      </c>
      <c r="J104" s="91" t="s">
        <v>1585</v>
      </c>
    </row>
    <row r="105" spans="3:10" ht="36.6" customHeight="1" x14ac:dyDescent="0.3">
      <c r="C105" s="87" t="str">
        <f>+'PLAN DE DESARROLLO 2024 - 2027'!B154</f>
        <v xml:space="preserve"> GESTIÓN Y CONSERVACIÓN DEL AGUA</v>
      </c>
      <c r="D105" s="88">
        <f>+'PLAN DE DESARROLLO 2024 - 2027'!M154</f>
        <v>0.12164625000000003</v>
      </c>
      <c r="E105" s="962">
        <f>+'PLAN DE DESARROLLO 2024 - 2027'!K154</f>
        <v>0.21344166666666667</v>
      </c>
    </row>
    <row r="106" spans="3:10" ht="37.200000000000003" customHeight="1" x14ac:dyDescent="0.3">
      <c r="C106" s="87" t="str">
        <f>+'PLAN DE DESARROLLO 2024 - 2027'!B155</f>
        <v xml:space="preserve"> RECUPERACIÓN DEL SISTEMA DE CANALES Y DRENAJES PLUVIALES</v>
      </c>
      <c r="D106" s="88">
        <f>+'PLAN DE DESARROLLO 2024 - 2027'!M155</f>
        <v>1</v>
      </c>
      <c r="E106" s="330">
        <f>+'PLAN DE DESARROLLO 2024 - 2027'!K155</f>
        <v>1</v>
      </c>
    </row>
    <row r="107" spans="3:10" ht="24.6" x14ac:dyDescent="0.3">
      <c r="C107" s="87" t="str">
        <f>+'PLAN DE DESARROLLO 2024 - 2027'!B156</f>
        <v xml:space="preserve"> RECUPERACIÓN Y ESTABILIZACIÓN DEL SISTEMA HÍDRICO Y LITORAL DE CARTAGENA</v>
      </c>
      <c r="D107" s="88">
        <f>+'PLAN DE DESARROLLO 2024 - 2027'!M156</f>
        <v>0.31250000000000006</v>
      </c>
      <c r="E107" s="330">
        <f>+'PLAN DE DESARROLLO 2024 - 2027'!K156</f>
        <v>0.45</v>
      </c>
    </row>
    <row r="108" spans="3:10" ht="38.4" customHeight="1" x14ac:dyDescent="0.3">
      <c r="C108" s="87" t="str">
        <f>+'PLAN DE DESARROLLO 2024 - 2027'!B157</f>
        <v xml:space="preserve"> PLAN DE RESTAURACIÓN INTEGRAL DE LA CIÉNAGA DE LA VIRGEN</v>
      </c>
      <c r="D108" s="88">
        <f>+'PLAN DE DESARROLLO 2024 - 2027'!M157</f>
        <v>0.58966666666666667</v>
      </c>
      <c r="E108" s="1061">
        <f>+'PLAN DE DESARROLLO 2024 - 2027'!K157</f>
        <v>0.41444444444444439</v>
      </c>
    </row>
    <row r="112" spans="3:10" ht="33.6" customHeight="1" x14ac:dyDescent="0.3"/>
    <row r="113" spans="3:4" ht="18" x14ac:dyDescent="0.35">
      <c r="C113" s="94"/>
      <c r="D113" s="95"/>
    </row>
    <row r="114" spans="3:4" ht="18" x14ac:dyDescent="0.35">
      <c r="C114" s="94"/>
      <c r="D114" s="95"/>
    </row>
    <row r="119" spans="3:4" ht="55.95" customHeight="1" x14ac:dyDescent="0.3">
      <c r="C119" s="10"/>
      <c r="D119" s="783" t="s">
        <v>2527</v>
      </c>
    </row>
    <row r="120" spans="3:4" ht="67.2" customHeight="1" x14ac:dyDescent="0.35">
      <c r="C120" s="89" t="str">
        <f t="shared" ref="C120:C127" si="1">+N6</f>
        <v xml:space="preserve">CARTAGENA CIUDAD CONECTADA Y SOSTENIBLE
</v>
      </c>
      <c r="D120" s="1063">
        <f>+'PLAN DE DESARROLLO 2024 - 2027'!I123</f>
        <v>0.83345436158257791</v>
      </c>
    </row>
    <row r="121" spans="3:4" ht="55.2" customHeight="1" x14ac:dyDescent="0.3">
      <c r="C121" s="98" t="str">
        <f t="shared" si="1"/>
        <v xml:space="preserve"> Ordenamiento del Territorio y espacio público.
</v>
      </c>
      <c r="D121" s="794">
        <f>+'PLAN DE DESARROLLO 2024 - 2027'!I124</f>
        <v>0.92518035426731082</v>
      </c>
    </row>
    <row r="122" spans="3:4" ht="47.4" customHeight="1" x14ac:dyDescent="0.3">
      <c r="C122" s="98" t="str">
        <f t="shared" si="1"/>
        <v xml:space="preserve"> Control Urbanístico y Territorial
</v>
      </c>
      <c r="D122" s="1152">
        <f>+'PLAN DE DESARROLLO 2024 - 2027'!I127</f>
        <v>0.85</v>
      </c>
    </row>
    <row r="123" spans="3:4" ht="37.200000000000003" customHeight="1" x14ac:dyDescent="0.3">
      <c r="C123" s="98" t="str">
        <f t="shared" si="1"/>
        <v xml:space="preserve"> Cartagena Amigable con el Ambiente 
</v>
      </c>
      <c r="D123" s="1063">
        <f>+'PLAN DE DESARROLLO 2024 - 2027'!I130</f>
        <v>0.78964986740672216</v>
      </c>
    </row>
    <row r="124" spans="3:4" ht="61.2" customHeight="1" x14ac:dyDescent="0.3">
      <c r="C124" s="98" t="str">
        <f t="shared" si="1"/>
        <v xml:space="preserve"> Cartagena Adaptada al Clima y Resiliente a los Desastres
</v>
      </c>
      <c r="D124" s="794">
        <f>+'PLAN DE DESARROLLO 2024 - 2027'!I136</f>
        <v>0.98029629629629633</v>
      </c>
    </row>
    <row r="125" spans="3:4" ht="31.2" x14ac:dyDescent="0.3">
      <c r="C125" s="98" t="str">
        <f t="shared" si="1"/>
        <v xml:space="preserve">Ciudad Histórica y Patrimonial
</v>
      </c>
      <c r="D125" s="1064">
        <f>+'PLAN DE DESARROLLO 2024 - 2027'!I143</f>
        <v>0.71249002267573702</v>
      </c>
    </row>
    <row r="126" spans="3:4" ht="46.8" x14ac:dyDescent="0.3">
      <c r="C126" s="98" t="str">
        <f t="shared" si="1"/>
        <v xml:space="preserve">Infraestructura, Movilidad Sostenible y Accesibilidad para Todos
</v>
      </c>
      <c r="D126" s="794">
        <f>+'PLAN DE DESARROLLO 2024 - 2027'!I147</f>
        <v>0.97413734375382754</v>
      </c>
    </row>
    <row r="127" spans="3:4" ht="31.2" x14ac:dyDescent="0.3">
      <c r="C127" s="98" t="str">
        <f t="shared" si="1"/>
        <v xml:space="preserve">Cartagena Ordenada Alrededor del Agua
</v>
      </c>
      <c r="D127" s="1063">
        <f>+'PLAN DE DESARROLLO 2024 - 2027'!I153</f>
        <v>0.73070847701149422</v>
      </c>
    </row>
    <row r="134" spans="3:5" ht="38.4" customHeight="1" x14ac:dyDescent="0.3"/>
    <row r="136" spans="3:5" ht="36.6" customHeight="1" x14ac:dyDescent="0.3"/>
    <row r="140" spans="3:5" x14ac:dyDescent="0.3">
      <c r="C140" s="1439" t="s">
        <v>1844</v>
      </c>
      <c r="D140" s="1439"/>
      <c r="E140" s="1439"/>
    </row>
    <row r="141" spans="3:5" x14ac:dyDescent="0.3">
      <c r="C141" s="1439"/>
      <c r="D141" s="1439"/>
      <c r="E141" s="1439"/>
    </row>
    <row r="142" spans="3:5" ht="28.8" x14ac:dyDescent="0.3">
      <c r="C142" s="120" t="s">
        <v>2269</v>
      </c>
      <c r="D142" s="90" t="s">
        <v>2528</v>
      </c>
      <c r="E142" s="119" t="s">
        <v>1586</v>
      </c>
    </row>
    <row r="143" spans="3:5" ht="36.6" customHeight="1" x14ac:dyDescent="0.3">
      <c r="C143" s="1065" t="s">
        <v>1731</v>
      </c>
      <c r="D143" s="943">
        <v>0.21262466666666666</v>
      </c>
      <c r="E143" s="1066" t="s">
        <v>1540</v>
      </c>
    </row>
    <row r="144" spans="3:5" ht="57.6" customHeight="1" x14ac:dyDescent="0.3">
      <c r="C144" s="1065" t="s">
        <v>1738</v>
      </c>
      <c r="D144" s="943">
        <v>0.22817499999999999</v>
      </c>
      <c r="E144" s="1066" t="s">
        <v>2348</v>
      </c>
    </row>
    <row r="145" spans="3:5" ht="84.6" customHeight="1" x14ac:dyDescent="0.3">
      <c r="C145" s="1065" t="s">
        <v>1739</v>
      </c>
      <c r="D145" s="115">
        <v>0.1452</v>
      </c>
      <c r="E145" s="1066" t="s">
        <v>2349</v>
      </c>
    </row>
    <row r="146" spans="3:5" ht="43.2" customHeight="1" x14ac:dyDescent="0.3">
      <c r="C146" s="1065" t="s">
        <v>1743</v>
      </c>
      <c r="D146" s="1290">
        <v>0.19499999999999998</v>
      </c>
      <c r="E146" s="1066" t="s">
        <v>863</v>
      </c>
    </row>
    <row r="147" spans="3:5" ht="53.4" customHeight="1" x14ac:dyDescent="0.3">
      <c r="C147" s="1065" t="s">
        <v>1746</v>
      </c>
      <c r="D147" s="962">
        <v>0.21252499999999999</v>
      </c>
      <c r="E147" s="1067" t="s">
        <v>2439</v>
      </c>
    </row>
  </sheetData>
  <sheetProtection password="DF7C" sheet="1" objects="1" scenarios="1"/>
  <mergeCells count="3">
    <mergeCell ref="N3:P4"/>
    <mergeCell ref="C2:F3"/>
    <mergeCell ref="C140:E14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2:O125"/>
  <sheetViews>
    <sheetView zoomScale="40" zoomScaleNormal="40" workbookViewId="0">
      <selection activeCell="F124" sqref="F124"/>
    </sheetView>
  </sheetViews>
  <sheetFormatPr baseColWidth="10" defaultRowHeight="14.4" x14ac:dyDescent="0.3"/>
  <cols>
    <col min="3" max="3" width="61.6640625" customWidth="1"/>
    <col min="4" max="4" width="36.33203125" customWidth="1"/>
    <col min="5" max="5" width="50.5546875" customWidth="1"/>
    <col min="6" max="6" width="60.33203125" customWidth="1"/>
    <col min="7" max="7" width="60" customWidth="1"/>
    <col min="8" max="8" width="29.33203125" customWidth="1"/>
    <col min="9" max="9" width="42.6640625" customWidth="1"/>
    <col min="13" max="13" width="44.88671875" customWidth="1"/>
    <col min="14" max="14" width="39.33203125" customWidth="1"/>
    <col min="15" max="15" width="38.44140625" customWidth="1"/>
  </cols>
  <sheetData>
    <row r="2" spans="3:15" ht="14.4" customHeight="1" x14ac:dyDescent="0.3">
      <c r="C2" s="1438" t="s">
        <v>2546</v>
      </c>
      <c r="D2" s="1438"/>
      <c r="E2" s="1438"/>
      <c r="F2" s="1438"/>
      <c r="M2" s="1432" t="s">
        <v>2547</v>
      </c>
      <c r="N2" s="1433"/>
      <c r="O2" s="1434"/>
    </row>
    <row r="3" spans="3:15" ht="39.6" customHeight="1" x14ac:dyDescent="0.3">
      <c r="C3" s="1438"/>
      <c r="D3" s="1438"/>
      <c r="E3" s="1438"/>
      <c r="F3" s="1438"/>
      <c r="M3" s="1435"/>
      <c r="N3" s="1436"/>
      <c r="O3" s="1437"/>
    </row>
    <row r="4" spans="3:15" ht="57.6" customHeight="1" x14ac:dyDescent="0.3">
      <c r="C4" s="84"/>
      <c r="D4" s="784" t="s">
        <v>1987</v>
      </c>
      <c r="E4" s="784" t="s">
        <v>2518</v>
      </c>
      <c r="F4" s="784" t="s">
        <v>1988</v>
      </c>
      <c r="M4" s="84"/>
      <c r="N4" s="85" t="s">
        <v>1989</v>
      </c>
      <c r="O4" s="85" t="s">
        <v>2519</v>
      </c>
    </row>
    <row r="5" spans="3:15" ht="55.95" customHeight="1" x14ac:dyDescent="0.35">
      <c r="C5" s="96" t="str">
        <f>+'PLAN DE DESARROLLO 2024 - 2027'!B161</f>
        <v xml:space="preserve"> INNOVACIÓN PÚBLICA Y PARTICIPACIÓN CIUDADANA
</v>
      </c>
      <c r="D5" s="782">
        <f>+'PLAN DE DESARROLLO 2024 - 2027'!F161</f>
        <v>0.4993734663770556</v>
      </c>
      <c r="E5" s="117">
        <f>+'PLAN DE DESARROLLO 2024 - 2027'!K161</f>
        <v>0.54534437455673601</v>
      </c>
      <c r="F5" s="128">
        <v>0.21734598565460142</v>
      </c>
      <c r="M5" s="96" t="str">
        <f t="shared" ref="M5:M11" si="0">+C5</f>
        <v xml:space="preserve"> INNOVACIÓN PÚBLICA Y PARTICIPACIÓN CIUDADANA
</v>
      </c>
      <c r="N5" s="103">
        <f>+'PLAN DE DESARROLLO 2024 - 2027'!G161+'PLAN DE DESARROLLO 2024 - 2027'!H161</f>
        <v>0.47689119792639012</v>
      </c>
      <c r="O5" s="103">
        <f>+'PLAN DE DESARROLLO 2024 - 2027'!M161</f>
        <v>0.50552782129594898</v>
      </c>
    </row>
    <row r="6" spans="3:15" ht="54.6" customHeight="1" x14ac:dyDescent="0.3">
      <c r="C6" s="127" t="s">
        <v>1845</v>
      </c>
      <c r="D6" s="103">
        <f>+'PLAN DE DESARROLLO 2024 - 2027'!F162</f>
        <v>0.44564814814814813</v>
      </c>
      <c r="E6" s="1056">
        <f>+'PLAN DE DESARROLLO 2024 - 2027'!K162</f>
        <v>0.40580555555555553</v>
      </c>
      <c r="F6" s="129">
        <v>0.21</v>
      </c>
      <c r="M6" s="86" t="str">
        <f t="shared" si="0"/>
        <v xml:space="preserve">Transparencia y Gobierno Abierto
</v>
      </c>
      <c r="N6" s="103">
        <f>+'PLAN DE DESARROLLO 2024 - 2027'!G162+'PLAN DE DESARROLLO 2024 - 2027'!H162</f>
        <v>0.51641666666666663</v>
      </c>
      <c r="O6" s="103">
        <f>+'PLAN DE DESARROLLO 2024 - 2027'!M162</f>
        <v>0.41844000000000003</v>
      </c>
    </row>
    <row r="7" spans="3:15" ht="48" customHeight="1" x14ac:dyDescent="0.3">
      <c r="C7" s="86" t="str">
        <f>+'PLAN DE DESARROLLO 2024 - 2027'!B166</f>
        <v xml:space="preserve">Fortalecimiento Institucional e Innovación Administrativa
</v>
      </c>
      <c r="D7" s="103">
        <f>+'PLAN DE DESARROLLO 2024 - 2027'!F166</f>
        <v>0.4688387775963947</v>
      </c>
      <c r="E7" s="113">
        <f>+'PLAN DE DESARROLLO 2024 - 2027'!K166</f>
        <v>0.46666914224150913</v>
      </c>
      <c r="F7" s="129">
        <v>0.20252323663937852</v>
      </c>
      <c r="M7" s="99" t="str">
        <f t="shared" si="0"/>
        <v xml:space="preserve">Fortalecimiento Institucional e Innovación Administrativa
</v>
      </c>
      <c r="N7" s="103">
        <f>+'PLAN DE DESARROLLO 2024 - 2027'!G166+'PLAN DE DESARROLLO 2024 - 2027'!H166</f>
        <v>0.51859130733767023</v>
      </c>
      <c r="O7" s="103">
        <f>+'PLAN DE DESARROLLO 2024 - 2027'!M166</f>
        <v>0.52144215270407368</v>
      </c>
    </row>
    <row r="8" spans="3:15" ht="28.8" x14ac:dyDescent="0.3">
      <c r="C8" s="86" t="str">
        <f>+'PLAN DE DESARROLLO 2024 - 2027'!B175</f>
        <v xml:space="preserve"> Finanzas Públicas
</v>
      </c>
      <c r="D8" s="103">
        <f>+'PLAN DE DESARROLLO 2024 - 2027'!F175</f>
        <v>0.50982794224574346</v>
      </c>
      <c r="E8" s="920">
        <f>+'PLAN DE DESARROLLO 2024 - 2027'!K175</f>
        <v>0.77712521124768763</v>
      </c>
      <c r="F8" s="129">
        <v>0.25580038172039926</v>
      </c>
      <c r="M8" s="86" t="str">
        <f t="shared" si="0"/>
        <v xml:space="preserve"> Finanzas Públicas
</v>
      </c>
      <c r="N8" s="103">
        <f>+'PLAN DE DESARROLLO 2024 - 2027'!G175+'PLAN DE DESARROLLO 2024 - 2027'!H175</f>
        <v>0.48003771902475223</v>
      </c>
      <c r="O8" s="103">
        <f>+'PLAN DE DESARROLLO 2024 - 2027'!M175</f>
        <v>0.53668886120066794</v>
      </c>
    </row>
    <row r="9" spans="3:15" ht="28.8" x14ac:dyDescent="0.3">
      <c r="C9" s="86" t="str">
        <f>+'PLAN DE DESARROLLO 2024 - 2027'!B178</f>
        <v xml:space="preserve">Cultura Ciudadana
</v>
      </c>
      <c r="D9" s="103">
        <f>+'PLAN DE DESARROLLO 2024 - 2027'!F178</f>
        <v>0.5349577019952263</v>
      </c>
      <c r="E9" s="113">
        <f>+'PLAN DE DESARROLLO 2024 - 2027'!K178</f>
        <v>0.52344420487663357</v>
      </c>
      <c r="F9" s="129">
        <v>0.25439168183196847</v>
      </c>
      <c r="M9" s="86" t="str">
        <f t="shared" si="0"/>
        <v xml:space="preserve">Cultura Ciudadana
</v>
      </c>
      <c r="N9" s="103">
        <f>+'PLAN DE DESARROLLO 2024 - 2027'!G178+'PLAN DE DESARROLLO 2024 - 2027'!H178</f>
        <v>0.49487648191372924</v>
      </c>
      <c r="O9" s="103">
        <f>+'PLAN DE DESARROLLO 2024 - 2027'!M178</f>
        <v>0.56904333649826588</v>
      </c>
    </row>
    <row r="10" spans="3:15" ht="49.95" customHeight="1" x14ac:dyDescent="0.3">
      <c r="C10" s="86" t="str">
        <f>+'PLAN DE DESARROLLO 2024 - 2027'!B184</f>
        <v xml:space="preserve">Participación Ciudadana y Acción Comunal
</v>
      </c>
      <c r="D10" s="103">
        <f>+'PLAN DE DESARROLLO 2024 - 2027'!F184</f>
        <v>0.49043977987101872</v>
      </c>
      <c r="E10" s="113">
        <f>+'PLAN DE DESARROLLO 2024 - 2027'!K184</f>
        <v>0.4683245805089773</v>
      </c>
      <c r="F10" s="129">
        <v>0.17211584073705719</v>
      </c>
      <c r="M10" s="86" t="str">
        <f t="shared" si="0"/>
        <v xml:space="preserve">Participación Ciudadana y Acción Comunal
</v>
      </c>
      <c r="N10" s="103">
        <f>+'PLAN DE DESARROLLO 2024 - 2027'!G184+'PLAN DE DESARROLLO 2024 - 2027'!H184</f>
        <v>0.59884896226070028</v>
      </c>
      <c r="O10" s="103">
        <f>+'PLAN DE DESARROLLO 2024 - 2027'!M184</f>
        <v>0.49669634354560488</v>
      </c>
    </row>
    <row r="11" spans="3:15" ht="43.95" customHeight="1" x14ac:dyDescent="0.3">
      <c r="C11" s="86" t="str">
        <f>+'PLAN DE DESARROLLO 2024 - 2027'!B191</f>
        <v xml:space="preserve">Sistema de Planeación Distrital
</v>
      </c>
      <c r="D11" s="103">
        <f>+'PLAN DE DESARROLLO 2024 - 2027'!F191</f>
        <v>0.50808654572940293</v>
      </c>
      <c r="E11" s="113">
        <f>+'PLAN DE DESARROLLO 2024 - 2027'!K191</f>
        <v>0.56069755291005297</v>
      </c>
      <c r="F11" s="129">
        <v>0.20924477299880526</v>
      </c>
      <c r="M11" s="86" t="str">
        <f t="shared" si="0"/>
        <v xml:space="preserve">Sistema de Planeación Distrital
</v>
      </c>
      <c r="N11" s="103">
        <f>+'PLAN DE DESARROLLO 2024 - 2027'!G191+'PLAN DE DESARROLLO 2024 - 2027'!H191</f>
        <v>0.49006150793650793</v>
      </c>
      <c r="O11" s="103">
        <f>+'PLAN DE DESARROLLO 2024 - 2027'!M191</f>
        <v>0.49863416666666671</v>
      </c>
    </row>
    <row r="45" spans="3:7" ht="43.2" x14ac:dyDescent="0.3">
      <c r="C45" s="10"/>
      <c r="D45" s="85" t="s">
        <v>2530</v>
      </c>
      <c r="E45" s="790" t="s">
        <v>2548</v>
      </c>
      <c r="G45" s="91" t="s">
        <v>1585</v>
      </c>
    </row>
    <row r="46" spans="3:7" ht="51" customHeight="1" x14ac:dyDescent="0.35">
      <c r="C46" s="89" t="str">
        <f>+'PLAN DE DESARROLLO 2024 - 2027'!B162</f>
        <v xml:space="preserve">Componente Impulsor del avance: Transparencia y Gobierno Abierto
</v>
      </c>
      <c r="D46" s="782">
        <f>+O6</f>
        <v>0.41844000000000003</v>
      </c>
      <c r="E46" s="1051">
        <f>+'PLAN DE DESARROLLO 2024 - 2027'!K162</f>
        <v>0.40580555555555553</v>
      </c>
      <c r="G46" t="s">
        <v>1585</v>
      </c>
    </row>
    <row r="47" spans="3:7" ht="40.200000000000003" customHeight="1" x14ac:dyDescent="0.3">
      <c r="C47" s="87" t="str">
        <f>+'PLAN DE DESARROLLO 2024 - 2027'!B164</f>
        <v xml:space="preserve"> TRANSPARENCIA Y LUCHA CONTRA LA CORRUPCIÓN</v>
      </c>
      <c r="D47" s="103">
        <f>+'PLAN DE DESARROLLO 2024 - 2027'!M164</f>
        <v>0.57499999999999996</v>
      </c>
      <c r="E47" s="113">
        <f>+'PLAN DE DESARROLLO 2024 - 2027'!K164</f>
        <v>0.625</v>
      </c>
    </row>
    <row r="48" spans="3:7" ht="40.200000000000003" customHeight="1" x14ac:dyDescent="0.3">
      <c r="C48" s="87" t="str">
        <f>+'PLAN DE DESARROLLO 2024 - 2027'!B163</f>
        <v xml:space="preserve"> PROCESOS ADMINISTRATIVOS ÓPTIMOS Y TRANSPARENTES</v>
      </c>
      <c r="D48" s="103">
        <f>+'PLAN DE DESARROLLO 2024 - 2027'!M163</f>
        <v>0.12249999999999998</v>
      </c>
      <c r="E48" s="115">
        <f>+'PLAN DE DESARROLLO 2024 - 2027'!K163</f>
        <v>0.11549999999999999</v>
      </c>
    </row>
    <row r="49" spans="3:12" ht="38.4" customHeight="1" x14ac:dyDescent="0.3">
      <c r="C49" s="87" t="str">
        <f>+'PLAN DE DESARROLLO 2024 - 2027'!B165</f>
        <v xml:space="preserve"> CARTAGENA DIGITAL, INCLUSIVA Y CONECTADA</v>
      </c>
      <c r="D49" s="103">
        <f>+'PLAN DE DESARROLLO 2024 - 2027'!M165</f>
        <v>0.50563333333333338</v>
      </c>
      <c r="E49" s="113">
        <f>+'PLAN DE DESARROLLO 2024 - 2027'!K165</f>
        <v>0.47691666666666666</v>
      </c>
    </row>
    <row r="50" spans="3:12" ht="29.4" customHeight="1" x14ac:dyDescent="0.3">
      <c r="C50" s="93"/>
      <c r="D50" s="101"/>
    </row>
    <row r="51" spans="3:12" ht="29.4" customHeight="1" x14ac:dyDescent="0.3">
      <c r="C51" s="93"/>
      <c r="D51" s="101"/>
    </row>
    <row r="52" spans="3:12" ht="28.8" x14ac:dyDescent="0.3">
      <c r="G52" s="91" t="s">
        <v>1585</v>
      </c>
    </row>
    <row r="53" spans="3:12" x14ac:dyDescent="0.3">
      <c r="C53" s="91"/>
      <c r="G53" s="91"/>
    </row>
    <row r="55" spans="3:12" ht="66" customHeight="1" x14ac:dyDescent="0.3">
      <c r="C55" s="10"/>
      <c r="D55" s="85" t="s">
        <v>2530</v>
      </c>
      <c r="E55" s="790" t="s">
        <v>2549</v>
      </c>
    </row>
    <row r="56" spans="3:12" ht="69" customHeight="1" x14ac:dyDescent="0.35">
      <c r="C56" s="89" t="str">
        <f>+'PLAN DE DESARROLLO 2024 - 2027'!B166</f>
        <v xml:space="preserve">Fortalecimiento Institucional e Innovación Administrativa
</v>
      </c>
      <c r="D56" s="782">
        <f>+O7</f>
        <v>0.52144215270407368</v>
      </c>
      <c r="E56" s="1051">
        <f>+'PLAN DE DESARROLLO 2024 - 2027'!K166</f>
        <v>0.46666914224150913</v>
      </c>
      <c r="L56" s="91" t="s">
        <v>1585</v>
      </c>
    </row>
    <row r="57" spans="3:12" ht="37.200000000000003" customHeight="1" x14ac:dyDescent="0.3">
      <c r="C57" s="87" t="str">
        <f>+'PLAN DE DESARROLLO 2024 - 2027'!B167</f>
        <v xml:space="preserve"> MODELO INTEGRADO DE PLANEACIÓN Y GESTIÓN - MIPG</v>
      </c>
      <c r="D57" s="103">
        <f>+'PLAN DE DESARROLLO 2024 - 2027'!M167</f>
        <v>0.70063500000000001</v>
      </c>
      <c r="E57" s="113">
        <f>+'PLAN DE DESARROLLO 2024 - 2027'!K167</f>
        <v>0.62817499999999993</v>
      </c>
    </row>
    <row r="58" spans="3:12" ht="48.6" customHeight="1" x14ac:dyDescent="0.3">
      <c r="C58" s="87" t="str">
        <f>+'PLAN DE DESARROLLO 2024 - 2027'!B168</f>
        <v xml:space="preserve"> MEJORA NORMATIVA EN EL DISTRITO DE CARTAGENA DE INDIAS</v>
      </c>
      <c r="D58" s="103">
        <f>+'PLAN DE DESARROLLO 2024 - 2027'!M168</f>
        <v>0.55999999999999994</v>
      </c>
      <c r="E58" s="113">
        <f>+'PLAN DE DESARROLLO 2024 - 2027'!K168</f>
        <v>0.53749999999999998</v>
      </c>
    </row>
    <row r="59" spans="3:12" ht="48.6" customHeight="1" x14ac:dyDescent="0.3">
      <c r="C59" s="87" t="str">
        <f>+'PLAN DE DESARROLLO 2024 - 2027'!B169</f>
        <v xml:space="preserve"> PATRIMONIO PÚBLICO AL SERVICIO DE CARTAGENA</v>
      </c>
      <c r="D59" s="103">
        <f>+'PLAN DE DESARROLLO 2024 - 2027'!M169</f>
        <v>0.53483874000940301</v>
      </c>
      <c r="E59" s="113">
        <f>+'PLAN DE DESARROLLO 2024 - 2027'!K169</f>
        <v>0.555892493339602</v>
      </c>
    </row>
    <row r="60" spans="3:12" ht="47.4" customHeight="1" x14ac:dyDescent="0.3">
      <c r="C60" s="87" t="str">
        <f>+'PLAN DE DESARROLLO 2024 - 2027'!B170</f>
        <v xml:space="preserve"> REDISEÑO INSTITUCIONAL E INNOVACIÓN ADMINISTRATIVA DEL DISTRITO</v>
      </c>
      <c r="D60" s="103">
        <f>+'PLAN DE DESARROLLO 2024 - 2027'!M170</f>
        <v>0.62375999999999998</v>
      </c>
      <c r="E60" s="113">
        <f>+'PLAN DE DESARROLLO 2024 - 2027'!K170</f>
        <v>0.62375999999999998</v>
      </c>
    </row>
    <row r="61" spans="3:12" ht="47.4" customHeight="1" x14ac:dyDescent="0.3">
      <c r="C61" s="87" t="str">
        <f>+'PLAN DE DESARROLLO 2024 - 2027'!B171</f>
        <v xml:space="preserve"> SEGURIDAD DIGITAL</v>
      </c>
      <c r="D61" s="103">
        <f>+'PLAN DE DESARROLLO 2024 - 2027'!M171</f>
        <v>0.6</v>
      </c>
      <c r="E61" s="113">
        <f>+'PLAN DE DESARROLLO 2024 - 2027'!K171</f>
        <v>0.66666666666666663</v>
      </c>
    </row>
    <row r="62" spans="3:12" ht="39.6" customHeight="1" x14ac:dyDescent="0.3">
      <c r="C62" s="87" t="str">
        <f>+'PLAN DE DESARROLLO 2024 - 2027'!B172</f>
        <v xml:space="preserve"> TRANSFORMACIÓN DIGITAL DEL SISTEMA DE ARCHIVO PARA LA GESTIÓN PÚBLICA EFICIENTE</v>
      </c>
      <c r="D62" s="103">
        <f>+'PLAN DE DESARROLLO 2024 - 2027'!M172</f>
        <v>0.45749999999999996</v>
      </c>
      <c r="E62" s="1056">
        <f>+'PLAN DE DESARROLLO 2024 - 2027'!K172</f>
        <v>0.43</v>
      </c>
    </row>
    <row r="63" spans="3:12" ht="39.6" customHeight="1" x14ac:dyDescent="0.3">
      <c r="C63" s="87" t="str">
        <f>+'PLAN DE DESARROLLO 2024 - 2027'!B173</f>
        <v xml:space="preserve"> FORTALECIMIENTO DEL SISTEMA DE CONTROL INTERNO, SCI</v>
      </c>
      <c r="D63" s="103">
        <f>+'PLAN DE DESARROLLO 2024 - 2027'!M173</f>
        <v>0.05</v>
      </c>
      <c r="E63" s="115">
        <f>+'PLAN DE DESARROLLO 2024 - 2027'!K173</f>
        <v>0.05</v>
      </c>
    </row>
    <row r="64" spans="3:12" ht="39.6" customHeight="1" x14ac:dyDescent="0.3">
      <c r="C64" s="87" t="str">
        <f>+'PLAN DE DESARROLLO 2024 - 2027'!B174</f>
        <v xml:space="preserve"> FORTALECIMIENTO DE LA GESTIÓN ADMINISTRATIVA Y OPERATIVA DEL DEPARTAMENTO ADMINISTRATIVO DE TRÁNSITO Y TRANSPORTE - DATT</v>
      </c>
      <c r="D64" s="103">
        <f>+'PLAN DE DESARROLLO 2024 - 2027'!M174</f>
        <v>0.25917436468128752</v>
      </c>
      <c r="E64" s="118">
        <f>+'PLAN DE DESARROLLO 2024 - 2027'!K174</f>
        <v>0.24135897792580469</v>
      </c>
    </row>
    <row r="67" spans="3:11" ht="49.95" customHeight="1" x14ac:dyDescent="0.3">
      <c r="C67" s="10"/>
      <c r="D67" s="85" t="s">
        <v>2530</v>
      </c>
      <c r="E67" s="790" t="s">
        <v>2550</v>
      </c>
      <c r="F67" s="79" t="s">
        <v>1585</v>
      </c>
    </row>
    <row r="68" spans="3:11" ht="36" x14ac:dyDescent="0.35">
      <c r="C68" s="89" t="str">
        <f>+'PLAN DE DESARROLLO 2024 - 2027'!B175</f>
        <v xml:space="preserve"> Finanzas Públicas
</v>
      </c>
      <c r="D68" s="103">
        <f>+O8</f>
        <v>0.53668886120066794</v>
      </c>
      <c r="E68" s="113">
        <f>+'PLAN DE DESARROLLO 2024 - 2027'!K175</f>
        <v>0.77712521124768763</v>
      </c>
    </row>
    <row r="69" spans="3:11" ht="38.4" customHeight="1" x14ac:dyDescent="0.3">
      <c r="C69" s="87" t="str">
        <f>+'PLAN DE DESARROLLO 2024 - 2027'!B176</f>
        <v xml:space="preserve"> GESTIÓN FISCAL Y FINANCIERA OPORTUNA</v>
      </c>
      <c r="D69" s="103">
        <f>+'PLAN DE DESARROLLO 2024 - 2027'!M176</f>
        <v>0.51230406442175569</v>
      </c>
      <c r="E69" s="113">
        <f>+'PLAN DE DESARROLLO 2024 - 2027'!K176</f>
        <v>0.55425042249537515</v>
      </c>
    </row>
    <row r="70" spans="3:11" ht="46.95" customHeight="1" x14ac:dyDescent="0.3">
      <c r="C70" s="87" t="str">
        <f>+'PLAN DE DESARROLLO 2024 - 2027'!B177</f>
        <v xml:space="preserve"> HACIENDA MODERNA Y DIGITAL</v>
      </c>
      <c r="D70" s="103">
        <f>+'PLAN DE DESARROLLO 2024 - 2027'!M177</f>
        <v>1</v>
      </c>
      <c r="E70" s="113">
        <f>+'PLAN DE DESARROLLO 2024 - 2027'!K177</f>
        <v>1</v>
      </c>
    </row>
    <row r="71" spans="3:11" ht="20.399999999999999" customHeight="1" x14ac:dyDescent="0.3"/>
    <row r="73" spans="3:11" ht="61.95" customHeight="1" x14ac:dyDescent="0.3">
      <c r="C73" s="10"/>
      <c r="D73" s="85" t="s">
        <v>2530</v>
      </c>
      <c r="E73" s="790" t="s">
        <v>2551</v>
      </c>
      <c r="F73" s="79" t="s">
        <v>1585</v>
      </c>
      <c r="K73" s="91" t="s">
        <v>1585</v>
      </c>
    </row>
    <row r="74" spans="3:11" ht="52.2" customHeight="1" x14ac:dyDescent="0.35">
      <c r="C74" s="89" t="str">
        <f>+'PLAN DE DESARROLLO 2024 - 2027'!B178</f>
        <v xml:space="preserve">Cultura Ciudadana
</v>
      </c>
      <c r="D74" s="103">
        <f>+O9</f>
        <v>0.56904333649826588</v>
      </c>
      <c r="E74" s="113">
        <f>+'PLAN DE DESARROLLO 2024 - 2027'!K178</f>
        <v>0.52344420487663357</v>
      </c>
    </row>
    <row r="75" spans="3:11" ht="43.2" customHeight="1" x14ac:dyDescent="0.3">
      <c r="C75" s="87" t="str">
        <f>+'PLAN DE DESARROLLO 2024 - 2027'!B179</f>
        <v xml:space="preserve"> SERVIDORES CON ESPLENDOR CONSTRUYENDO CIUDAD</v>
      </c>
      <c r="D75" s="103">
        <f>+'PLAN DE DESARROLLO 2024 - 2027'!M179</f>
        <v>0.72784349408553239</v>
      </c>
      <c r="E75" s="113">
        <f>+'PLAN DE DESARROLLO 2024 - 2027'!K179</f>
        <v>0.6424021838034577</v>
      </c>
    </row>
    <row r="76" spans="3:11" ht="37.950000000000003" customHeight="1" x14ac:dyDescent="0.3">
      <c r="C76" s="87" t="str">
        <f>+'PLAN DE DESARROLLO 2024 - 2027'!B180</f>
        <v xml:space="preserve"> CIUDADANÍA DIVERSA, PARTICIPATIVA Y PROPULSORA DEL DESARROLLO</v>
      </c>
      <c r="D76" s="103">
        <f>+'PLAN DE DESARROLLO 2024 - 2027'!M180</f>
        <v>0.61749999999999994</v>
      </c>
      <c r="E76" s="113">
        <f>+'PLAN DE DESARROLLO 2024 - 2027'!K180</f>
        <v>0.51249999999999996</v>
      </c>
    </row>
    <row r="77" spans="3:11" ht="43.2" customHeight="1" x14ac:dyDescent="0.3">
      <c r="C77" s="87" t="str">
        <f>+'PLAN DE DESARROLLO 2024 - 2027'!B181</f>
        <v xml:space="preserve"> CARTAGENEIDAD CON ORGULLO Y ESPLENDOR</v>
      </c>
      <c r="D77" s="103">
        <f>+'PLAN DE DESARROLLO 2024 - 2027'!M181</f>
        <v>0.5</v>
      </c>
      <c r="E77" s="113">
        <f>+'PLAN DE DESARROLLO 2024 - 2027'!K181</f>
        <v>0.5</v>
      </c>
    </row>
    <row r="78" spans="3:11" ht="31.2" customHeight="1" x14ac:dyDescent="0.3">
      <c r="C78" s="87" t="str">
        <f>+'PLAN DE DESARROLLO 2024 - 2027'!B182</f>
        <v xml:space="preserve"> CARTAGENA BRILLA CON CULTURA CIUDADANA</v>
      </c>
      <c r="D78" s="82">
        <f>+'PLAN DE DESARROLLO 2024 - 2027'!M182</f>
        <v>0.45289855072463769</v>
      </c>
      <c r="E78" s="113">
        <f>+'PLAN DE DESARROLLO 2024 - 2027'!K182</f>
        <v>0.46231884057971018</v>
      </c>
    </row>
    <row r="79" spans="3:11" ht="44.4" customHeight="1" x14ac:dyDescent="0.3">
      <c r="C79" s="87" t="str">
        <f>+'PLAN DE DESARROLLO 2024 - 2027'!B183</f>
        <v xml:space="preserve"> ESCUELA DE GOBERNANZA E INNOVACIÓN PÚBLICA</v>
      </c>
      <c r="D79" s="103">
        <f>+'PLAN DE DESARROLLO 2024 - 2027'!M183</f>
        <v>0.5</v>
      </c>
      <c r="E79" s="113">
        <f>+'PLAN DE DESARROLLO 2024 - 2027'!K183</f>
        <v>0.5</v>
      </c>
    </row>
    <row r="80" spans="3:11" ht="44.4" customHeight="1" x14ac:dyDescent="0.3">
      <c r="D80" s="95"/>
    </row>
    <row r="81" spans="3:10" ht="20.399999999999999" customHeight="1" x14ac:dyDescent="0.3">
      <c r="D81" s="95"/>
    </row>
    <row r="83" spans="3:10" ht="18" x14ac:dyDescent="0.35">
      <c r="C83" s="94"/>
      <c r="D83" s="95"/>
    </row>
    <row r="84" spans="3:10" ht="18" x14ac:dyDescent="0.35">
      <c r="C84" s="94"/>
      <c r="D84" s="95"/>
    </row>
    <row r="85" spans="3:10" ht="45.6" customHeight="1" x14ac:dyDescent="0.3">
      <c r="C85" s="10"/>
      <c r="D85" s="85" t="s">
        <v>2530</v>
      </c>
      <c r="E85" s="790" t="s">
        <v>2552</v>
      </c>
    </row>
    <row r="86" spans="3:10" ht="54.6" customHeight="1" x14ac:dyDescent="0.35">
      <c r="C86" s="89" t="str">
        <f>+'PLAN DE DESARROLLO 2024 - 2027'!B184</f>
        <v xml:space="preserve">Participación Ciudadana y Acción Comunal
</v>
      </c>
      <c r="D86" s="782">
        <f>+O10</f>
        <v>0.49669634354560488</v>
      </c>
      <c r="E86" s="117">
        <f>+'PLAN DE DESARROLLO 2024 - 2027'!K184</f>
        <v>0.4683245805089773</v>
      </c>
      <c r="J86" t="s">
        <v>1585</v>
      </c>
    </row>
    <row r="87" spans="3:10" ht="39.6" customHeight="1" x14ac:dyDescent="0.3">
      <c r="C87" s="87" t="str">
        <f>+'PLAN DE DESARROLLO 2024 - 2027'!B185</f>
        <v xml:space="preserve"> ORGANISMOS COMUNALES TÉCNICOS Y ADMINISTRATIVAMENTE EFICIENTES</v>
      </c>
      <c r="D87" s="103">
        <f>+'PLAN DE DESARROLLO 2024 - 2027'!M185</f>
        <v>0.78866873474847721</v>
      </c>
      <c r="E87" s="113">
        <f>+'PLAN DE DESARROLLO 2024 - 2027'!K185</f>
        <v>0.77629859416497471</v>
      </c>
    </row>
    <row r="88" spans="3:10" ht="40.950000000000003" customHeight="1" x14ac:dyDescent="0.3">
      <c r="C88" s="87" t="str">
        <f>+'PLAN DE DESARROLLO 2024 - 2027'!B186</f>
        <v xml:space="preserve"> ORGANIZACIONES SOCIALES SÓLIDAS E INCIDENTES EN EL DESARROLLO LOCAL</v>
      </c>
      <c r="D88" s="103">
        <f>+'PLAN DE DESARROLLO 2024 - 2027'!M186</f>
        <v>0.254</v>
      </c>
      <c r="E88" s="114">
        <f>+'PLAN DE DESARROLLO 2024 - 2027'!K186</f>
        <v>0.2558333333333333</v>
      </c>
    </row>
    <row r="89" spans="3:10" ht="34.950000000000003" customHeight="1" x14ac:dyDescent="0.3">
      <c r="C89" s="87" t="str">
        <f>+'PLAN DE DESARROLLO 2024 - 2027'!B188</f>
        <v xml:space="preserve"> PARTICIPANDO DECIDIMOS Y AVANZAMOS</v>
      </c>
      <c r="D89" s="103">
        <f>+'PLAN DE DESARROLLO 2024 - 2027'!M188</f>
        <v>0.468026</v>
      </c>
      <c r="E89" s="1056">
        <f>+'PLAN DE DESARROLLO 2024 - 2027'!K188</f>
        <v>0.43321000000000004</v>
      </c>
    </row>
    <row r="90" spans="3:10" ht="33.6" customHeight="1" x14ac:dyDescent="0.3">
      <c r="C90" s="87" t="str">
        <f>+'PLAN DE DESARROLLO 2024 - 2027'!B189</f>
        <v xml:space="preserve"> PROMOCIÓN Y GARANTÍA PARA LA PARTICIPACIÓN SOCIOPOLÍTICA JUVENIL</v>
      </c>
      <c r="D90" s="103">
        <f>+'PLAN DE DESARROLLO 2024 - 2027'!M189</f>
        <v>0.65817499999999995</v>
      </c>
      <c r="E90" s="113">
        <f>+'PLAN DE DESARROLLO 2024 - 2027'!K189</f>
        <v>0.70804999999999996</v>
      </c>
    </row>
    <row r="91" spans="3:10" ht="39.6" customHeight="1" x14ac:dyDescent="0.3">
      <c r="C91" s="87" t="str">
        <f>+'PLAN DE DESARROLLO 2024 - 2027'!B190</f>
        <v xml:space="preserve"> DERECHO A LA PARTICIPACIÓN Y REPRESENTACIÓN CON EQUIDAD DE GÉNERO</v>
      </c>
      <c r="D91" s="103">
        <f>+'PLAN DE DESARROLLO 2024 - 2027'!M190</f>
        <v>0.71386666666666665</v>
      </c>
      <c r="E91" s="113">
        <f>+'PLAN DE DESARROLLO 2024 - 2027'!K190</f>
        <v>0.63655555555555554</v>
      </c>
    </row>
    <row r="92" spans="3:10" ht="41.4" customHeight="1" x14ac:dyDescent="0.3">
      <c r="D92" s="95"/>
    </row>
    <row r="93" spans="3:10" x14ac:dyDescent="0.3">
      <c r="D93" s="95"/>
    </row>
    <row r="94" spans="3:10" ht="62.4" customHeight="1" x14ac:dyDescent="0.3">
      <c r="C94" s="10"/>
      <c r="D94" s="85" t="s">
        <v>2530</v>
      </c>
      <c r="E94" s="790" t="s">
        <v>2553</v>
      </c>
    </row>
    <row r="95" spans="3:10" ht="43.95" customHeight="1" x14ac:dyDescent="0.35">
      <c r="C95" s="89" t="str">
        <f>+'PLAN DE DESARROLLO 2024 - 2027'!B191</f>
        <v xml:space="preserve">Sistema de Planeación Distrital
</v>
      </c>
      <c r="D95" s="782">
        <f>+O11</f>
        <v>0.49863416666666671</v>
      </c>
      <c r="E95" s="117">
        <f>+'PLAN DE DESARROLLO 2024 - 2027'!K191</f>
        <v>0.56069755291005297</v>
      </c>
      <c r="J95" s="91" t="s">
        <v>1585</v>
      </c>
    </row>
    <row r="96" spans="3:10" ht="36.6" customHeight="1" x14ac:dyDescent="0.3">
      <c r="C96" s="87" t="str">
        <f>+'PLAN DE DESARROLLO 2024 - 2027'!B192</f>
        <v xml:space="preserve"> CENTRO DE INVESTIGACIÓN DE INFORMACIÓN DE LA CIUDAD PARA LA TOMA DE DECISIONES (CIDI)</v>
      </c>
      <c r="D96" s="103">
        <f>+'PLAN DE DESARROLLO 2024 - 2027'!M192</f>
        <v>0.51416666666666666</v>
      </c>
      <c r="E96" s="113">
        <f>+'PLAN DE DESARROLLO 2024 - 2027'!K192</f>
        <v>0.82333333333333347</v>
      </c>
    </row>
    <row r="97" spans="3:5" ht="37.200000000000003" customHeight="1" x14ac:dyDescent="0.3">
      <c r="C97" s="87" t="str">
        <f>+'PLAN DE DESARROLLO 2024 - 2027'!B193</f>
        <v xml:space="preserve"> SISTEMAS DE INFORMACIÓN PARA EL DESARROLLO DE CARTAGENA</v>
      </c>
      <c r="D97" s="103">
        <f>+'PLAN DE DESARROLLO 2024 - 2027'!M193</f>
        <v>0.54608749999999995</v>
      </c>
      <c r="E97" s="113">
        <f>+'PLAN DE DESARROLLO 2024 - 2027'!K193</f>
        <v>0.53839166666666671</v>
      </c>
    </row>
    <row r="98" spans="3:5" ht="40.950000000000003" customHeight="1" x14ac:dyDescent="0.3">
      <c r="C98" s="87" t="str">
        <f>+'PLAN DE DESARROLLO 2024 - 2027'!B194</f>
        <v xml:space="preserve"> INVERSIÓN PÚBLICA EFICIENTE Y TRANSPARENTE</v>
      </c>
      <c r="D98" s="103">
        <f>+'PLAN DE DESARROLLO 2024 - 2027'!M194</f>
        <v>0.50124999999999997</v>
      </c>
      <c r="E98" s="113">
        <f>+'PLAN DE DESARROLLO 2024 - 2027'!K194</f>
        <v>0.46607142857142858</v>
      </c>
    </row>
    <row r="99" spans="3:5" ht="38.4" customHeight="1" x14ac:dyDescent="0.3">
      <c r="C99" s="87" t="str">
        <f>+'PLAN DE DESARROLLO 2024 - 2027'!B195</f>
        <v xml:space="preserve"> POLÍTICAS PÚBLICAS INTERSECTORIALES Y CON VISIÓN INTEGRAL</v>
      </c>
      <c r="D99" s="103">
        <f>+'PLAN DE DESARROLLO 2024 - 2027'!M195</f>
        <v>0.66666666666666674</v>
      </c>
      <c r="E99" s="113">
        <f>+'PLAN DE DESARROLLO 2024 - 2027'!K195</f>
        <v>0.72222222222222221</v>
      </c>
    </row>
    <row r="100" spans="3:5" ht="24.6" customHeight="1" x14ac:dyDescent="0.3">
      <c r="C100" s="87" t="str">
        <f>+'PLAN DE DESARROLLO 2024 - 2027'!B196</f>
        <v xml:space="preserve"> DESCENTRALIZACIÓN ADMINISTRATIVA</v>
      </c>
      <c r="D100" s="103">
        <f>+'PLAN DE DESARROLLO 2024 - 2027'!M196</f>
        <v>0.31666666666666665</v>
      </c>
      <c r="E100" s="1056">
        <f>+'PLAN DE DESARROLLO 2024 - 2027'!K196</f>
        <v>0.35416666666666669</v>
      </c>
    </row>
    <row r="101" spans="3:5" ht="33.6" customHeight="1" x14ac:dyDescent="0.3">
      <c r="C101" s="87" t="str">
        <f>+'PLAN DE DESARROLLO 2024 - 2027'!B197</f>
        <v xml:space="preserve"> GESTIÓN CATASTRAL CON ENFOQUE MULTIPROPÓSITO</v>
      </c>
      <c r="D101" s="103">
        <f>+'PLAN DE DESARROLLO 2024 - 2027'!M197</f>
        <v>0.46</v>
      </c>
      <c r="E101" s="113">
        <f>+'PLAN DE DESARROLLO 2024 - 2027'!K197</f>
        <v>0.46</v>
      </c>
    </row>
    <row r="102" spans="3:5" ht="18" x14ac:dyDescent="0.35">
      <c r="C102" s="94"/>
      <c r="D102" s="95"/>
    </row>
    <row r="103" spans="3:5" ht="18" x14ac:dyDescent="0.35">
      <c r="C103" s="94"/>
      <c r="D103" s="95"/>
    </row>
    <row r="108" spans="3:5" ht="55.95" customHeight="1" x14ac:dyDescent="0.3">
      <c r="C108" s="10"/>
      <c r="D108" s="783" t="s">
        <v>2527</v>
      </c>
    </row>
    <row r="109" spans="3:5" ht="36" x14ac:dyDescent="0.35">
      <c r="C109" s="89" t="str">
        <f t="shared" ref="C109:C115" si="1">+M5</f>
        <v xml:space="preserve"> INNOVACIÓN PÚBLICA Y PARTICIPACIÓN CIUDADANA
</v>
      </c>
      <c r="D109" s="1060">
        <f>+'PLAN DE DESARROLLO 2024 - 2027'!I161</f>
        <v>0.88279501521466452</v>
      </c>
    </row>
    <row r="110" spans="3:5" ht="31.2" x14ac:dyDescent="0.3">
      <c r="C110" s="98" t="str">
        <f t="shared" si="1"/>
        <v xml:space="preserve">Transparencia y Gobierno Abierto
</v>
      </c>
      <c r="D110" s="1061">
        <f>+'PLAN DE DESARROLLO 2024 - 2027'!I162</f>
        <v>0.77777777777777768</v>
      </c>
    </row>
    <row r="111" spans="3:5" ht="47.4" customHeight="1" x14ac:dyDescent="0.3">
      <c r="C111" s="98" t="str">
        <f t="shared" si="1"/>
        <v xml:space="preserve">Fortalecimiento Institucional e Innovación Administrativa
</v>
      </c>
      <c r="D111" s="1061">
        <f>+'PLAN DE DESARROLLO 2024 - 2027'!I166</f>
        <v>0.8024011437908497</v>
      </c>
    </row>
    <row r="112" spans="3:5" ht="31.2" x14ac:dyDescent="0.3">
      <c r="C112" s="98" t="str">
        <f t="shared" si="1"/>
        <v xml:space="preserve"> Finanzas Públicas
</v>
      </c>
      <c r="D112" s="330">
        <f>+'PLAN DE DESARROLLO 2024 - 2027'!I175</f>
        <v>0.97863502988969042</v>
      </c>
    </row>
    <row r="113" spans="3:5" ht="31.2" x14ac:dyDescent="0.3">
      <c r="C113" s="98" t="str">
        <f t="shared" si="1"/>
        <v xml:space="preserve">Cultura Ciudadana
</v>
      </c>
      <c r="D113" s="330">
        <f>+'PLAN DE DESARROLLO 2024 - 2027'!I178</f>
        <v>1</v>
      </c>
    </row>
    <row r="114" spans="3:5" ht="31.2" x14ac:dyDescent="0.3">
      <c r="C114" s="98" t="str">
        <f t="shared" si="1"/>
        <v xml:space="preserve">Participación Ciudadana y Acción Comunal
</v>
      </c>
      <c r="D114" s="1061">
        <f>+'PLAN DE DESARROLLO 2024 - 2027'!I184</f>
        <v>0.75171893939393941</v>
      </c>
    </row>
    <row r="115" spans="3:5" ht="54" customHeight="1" x14ac:dyDescent="0.3">
      <c r="C115" s="98" t="str">
        <f t="shared" si="1"/>
        <v xml:space="preserve">Sistema de Planeación Distrital
</v>
      </c>
      <c r="D115" s="1061">
        <f>+'PLAN DE DESARROLLO 2024 - 2027'!I191</f>
        <v>0.87160846560846561</v>
      </c>
    </row>
    <row r="119" spans="3:5" x14ac:dyDescent="0.3">
      <c r="C119" s="1439" t="s">
        <v>1844</v>
      </c>
      <c r="D119" s="1439"/>
      <c r="E119" s="1439"/>
    </row>
    <row r="120" spans="3:5" x14ac:dyDescent="0.3">
      <c r="C120" s="1439"/>
      <c r="D120" s="1439"/>
      <c r="E120" s="1439"/>
    </row>
    <row r="121" spans="3:5" ht="42.6" customHeight="1" x14ac:dyDescent="0.3">
      <c r="C121" s="120" t="s">
        <v>2440</v>
      </c>
      <c r="D121" s="90" t="s">
        <v>2528</v>
      </c>
      <c r="E121" s="119" t="s">
        <v>1586</v>
      </c>
    </row>
    <row r="122" spans="3:5" ht="40.950000000000003" customHeight="1" x14ac:dyDescent="0.35">
      <c r="C122" s="89" t="s">
        <v>1752</v>
      </c>
      <c r="D122" s="115">
        <v>0.11549999999999999</v>
      </c>
      <c r="E122" s="251" t="s">
        <v>516</v>
      </c>
    </row>
    <row r="123" spans="3:5" ht="61.2" customHeight="1" x14ac:dyDescent="0.35">
      <c r="C123" s="89" t="s">
        <v>1761</v>
      </c>
      <c r="D123" s="115">
        <v>0.05</v>
      </c>
      <c r="E123" s="251" t="s">
        <v>1550</v>
      </c>
    </row>
    <row r="124" spans="3:5" ht="58.2" customHeight="1" x14ac:dyDescent="0.35">
      <c r="C124" s="89" t="s">
        <v>1762</v>
      </c>
      <c r="D124" s="118">
        <v>0.24135897792580469</v>
      </c>
      <c r="E124" s="251" t="s">
        <v>1012</v>
      </c>
    </row>
    <row r="125" spans="3:5" ht="63" customHeight="1" x14ac:dyDescent="0.3"/>
  </sheetData>
  <sheetProtection password="DF7C" sheet="1" objects="1" scenarios="1"/>
  <mergeCells count="3">
    <mergeCell ref="M2:O3"/>
    <mergeCell ref="C119:E120"/>
    <mergeCell ref="C2:F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2:M82"/>
  <sheetViews>
    <sheetView zoomScale="40" zoomScaleNormal="40" workbookViewId="0">
      <selection activeCell="F89" sqref="F89"/>
    </sheetView>
  </sheetViews>
  <sheetFormatPr baseColWidth="10" defaultRowHeight="14.4" x14ac:dyDescent="0.3"/>
  <cols>
    <col min="3" max="3" width="58.6640625" style="106" customWidth="1"/>
    <col min="4" max="4" width="37" customWidth="1"/>
    <col min="5" max="5" width="56.88671875" customWidth="1"/>
    <col min="6" max="6" width="55.109375" customWidth="1"/>
    <col min="7" max="7" width="60" customWidth="1"/>
    <col min="8" max="8" width="29.33203125" customWidth="1"/>
    <col min="9" max="9" width="42.6640625" customWidth="1"/>
    <col min="11" max="11" width="38.88671875" customWidth="1"/>
    <col min="12" max="12" width="53.109375" customWidth="1"/>
    <col min="13" max="13" width="47.109375" customWidth="1"/>
  </cols>
  <sheetData>
    <row r="2" spans="3:13" ht="14.4" customHeight="1" x14ac:dyDescent="0.3">
      <c r="C2" s="1438" t="s">
        <v>2554</v>
      </c>
      <c r="D2" s="1438"/>
      <c r="E2" s="1438"/>
      <c r="F2" s="1438"/>
      <c r="K2" s="1432" t="s">
        <v>2354</v>
      </c>
      <c r="L2" s="1433"/>
      <c r="M2" s="1434"/>
    </row>
    <row r="3" spans="3:13" ht="40.950000000000003" customHeight="1" x14ac:dyDescent="0.3">
      <c r="C3" s="1438"/>
      <c r="D3" s="1438"/>
      <c r="E3" s="1438"/>
      <c r="F3" s="1438"/>
      <c r="K3" s="1435"/>
      <c r="L3" s="1436"/>
      <c r="M3" s="1437"/>
    </row>
    <row r="4" spans="3:13" ht="57.6" customHeight="1" x14ac:dyDescent="0.3">
      <c r="C4" s="130"/>
      <c r="D4" s="784" t="s">
        <v>1987</v>
      </c>
      <c r="E4" s="784" t="s">
        <v>2518</v>
      </c>
      <c r="F4" s="784" t="s">
        <v>1988</v>
      </c>
      <c r="K4" s="84"/>
      <c r="L4" s="85" t="s">
        <v>1989</v>
      </c>
      <c r="M4" s="85" t="s">
        <v>2353</v>
      </c>
    </row>
    <row r="5" spans="3:13" ht="55.95" customHeight="1" x14ac:dyDescent="0.35">
      <c r="C5" s="96" t="str">
        <f>+'PLAN DE DESARROLLO 2024 - 2027'!B198</f>
        <v xml:space="preserve">CAPÍTULO DE LOS PUEBLOS Y COMUNIDADES ÉTNICAS
</v>
      </c>
      <c r="D5" s="782">
        <f>+'PLAN DE DESARROLLO 2024 - 2027'!F198</f>
        <v>0.31880731922398586</v>
      </c>
      <c r="E5" s="1051">
        <f>+'PLAN DE DESARROLLO 2024 - 2027'!K198</f>
        <v>0.36192553511303516</v>
      </c>
      <c r="F5" s="830">
        <v>5.5588624338624326E-2</v>
      </c>
      <c r="K5" s="96" t="str">
        <f>+C5</f>
        <v xml:space="preserve">CAPÍTULO DE LOS PUEBLOS Y COMUNIDADES ÉTNICAS
</v>
      </c>
      <c r="L5" s="782">
        <f>+'PLAN DE DESARROLLO 2024 - 2027'!G198+'PLAN DE DESARROLLO 2024 - 2027'!H198</f>
        <v>0.31579166666666669</v>
      </c>
      <c r="M5" s="782">
        <f>+'PLAN DE DESARROLLO 2024 - 2027'!M198</f>
        <v>0.33027767045454548</v>
      </c>
    </row>
    <row r="6" spans="3:13" ht="54.6" customHeight="1" x14ac:dyDescent="0.3">
      <c r="C6" s="127" t="str">
        <f>+'PLAN DE DESARROLLO 2024 - 2027'!B199</f>
        <v xml:space="preserve"> Fortalecimiento al Desarrollo Afro-Territorial de la Población Negra, Afrocolombiana, Raizal y Palenquera
</v>
      </c>
      <c r="D6" s="103">
        <f>+'PLAN DE DESARROLLO 2024 - 2027'!F199</f>
        <v>0.28329365079365076</v>
      </c>
      <c r="E6" s="1056">
        <f>+'PLAN DE DESARROLLO 2024 - 2027'!K199</f>
        <v>0.35168903318903322</v>
      </c>
      <c r="F6" s="823">
        <v>6.4880952380952372E-2</v>
      </c>
      <c r="K6" s="86" t="str">
        <f>+C6</f>
        <v xml:space="preserve"> Fortalecimiento al Desarrollo Afro-Territorial de la Población Negra, Afrocolombiana, Raizal y Palenquera
</v>
      </c>
      <c r="L6" s="103">
        <f>+'PLAN DE DESARROLLO 2024 - 2027'!G199+'PLAN DE DESARROLLO 2024 - 2027'!H199</f>
        <v>0.25497222222222221</v>
      </c>
      <c r="M6" s="103">
        <f>+'PLAN DE DESARROLLO 2024 - 2027'!M199</f>
        <v>0.32727939393939398</v>
      </c>
    </row>
    <row r="7" spans="3:13" ht="48" customHeight="1" x14ac:dyDescent="0.3">
      <c r="C7" s="127" t="str">
        <f>+'PLAN DE DESARROLLO 2024 - 2027'!B203</f>
        <v xml:space="preserve">Territorio Sitio de Paz y Pensamiento Colectivo
</v>
      </c>
      <c r="D7" s="103">
        <f>+'PLAN DE DESARROLLO 2024 - 2027'!F203</f>
        <v>0.35432098765432096</v>
      </c>
      <c r="E7" s="1056">
        <f>+'PLAN DE DESARROLLO 2024 - 2027'!K203</f>
        <v>0.37216203703703704</v>
      </c>
      <c r="F7" s="823">
        <v>4.6296296296296287E-2</v>
      </c>
      <c r="K7" s="99" t="str">
        <f>+C7</f>
        <v xml:space="preserve">Territorio Sitio de Paz y Pensamiento Colectivo
</v>
      </c>
      <c r="L7" s="103">
        <f>+'PLAN DE DESARROLLO 2024 - 2027'!G203+'PLAN DE DESARROLLO 2024 - 2027'!I203</f>
        <v>0.96064814814814814</v>
      </c>
      <c r="M7" s="103">
        <f>+'PLAN DE DESARROLLO 2024 - 2027'!M203</f>
        <v>0.33927250000000003</v>
      </c>
    </row>
    <row r="41" spans="3:11" ht="82.8" customHeight="1" x14ac:dyDescent="0.3">
      <c r="C41" s="131"/>
      <c r="D41" s="85" t="s">
        <v>2530</v>
      </c>
      <c r="E41" s="790" t="s">
        <v>2555</v>
      </c>
      <c r="G41" s="91" t="s">
        <v>1585</v>
      </c>
    </row>
    <row r="42" spans="3:11" ht="70.2" customHeight="1" x14ac:dyDescent="0.35">
      <c r="C42" s="89" t="str">
        <f>+'PLAN DE DESARROLLO 2024 - 2027'!B199</f>
        <v xml:space="preserve"> Fortalecimiento al Desarrollo Afro-Territorial de la Población Negra, Afrocolombiana, Raizal y Palenquera
</v>
      </c>
      <c r="D42" s="786">
        <f>+M6</f>
        <v>0.32727939393939398</v>
      </c>
      <c r="E42" s="1051">
        <f>+'PLAN DE DESARROLLO 2024 - 2027'!K199</f>
        <v>0.35168903318903322</v>
      </c>
      <c r="G42" t="s">
        <v>1585</v>
      </c>
      <c r="K42" s="91" t="s">
        <v>1585</v>
      </c>
    </row>
    <row r="43" spans="3:11" ht="79.95" customHeight="1" x14ac:dyDescent="0.3">
      <c r="C43" s="87" t="str">
        <f>+'PLAN DE DESARROLLO 2024 - 2027'!B200</f>
        <v xml:space="preserve"> GOBERNANZA Y PARTICIPACIÓN DE LAS COMUNIDADES NEGRAS AFROCOLOMBIANAS, RAIZALES Y PALENQUERAS PARA EL FORTALECIMIENTO DE LA DEMOCRACIA EN EL DISTRITO</v>
      </c>
      <c r="D43" s="82">
        <f>+'PLAN DE DESARROLLO 2024 - 2027'!M200</f>
        <v>0.29172121212121216</v>
      </c>
      <c r="E43" s="122">
        <f>+'PLAN DE DESARROLLO 2024 - 2027'!K200</f>
        <v>0.30019696969696968</v>
      </c>
    </row>
    <row r="44" spans="3:11" ht="79.95" customHeight="1" x14ac:dyDescent="0.3">
      <c r="C44" s="87" t="str">
        <f>+'PLAN DE DESARROLLO 2024 - 2027'!B202</f>
        <v xml:space="preserve"> DESARROLLO LOCAL SOSTENIBLE Y PROSPERIDAD COLECTIVA EN LOS TERRITORIOS DE LAS COMUNIDADES NEGRAS DEL DISTRITO DE CARTAGENA</v>
      </c>
      <c r="D44" s="82">
        <f>+'PLAN DE DESARROLLO 2024 - 2027'!M202</f>
        <v>0.54249999999999998</v>
      </c>
      <c r="E44" s="1051">
        <f>+'PLAN DE DESARROLLO 2024 - 2027'!K202</f>
        <v>0.35</v>
      </c>
    </row>
    <row r="45" spans="3:11" ht="50.4" customHeight="1" x14ac:dyDescent="0.3">
      <c r="C45" s="87" t="str">
        <f>+'PLAN DE DESARROLLO 2024 - 2027'!B201</f>
        <v xml:space="preserve"> DESARROLLO HUMANO Y BIENESTAR SOCIAL DE LAS COMUNIDADES NEGRAS, AFROCOLOMBIANAS, RAIZALES Y PALENQUERAS</v>
      </c>
      <c r="D45" s="82">
        <f>+'PLAN DE DESARROLLO 2024 - 2027'!M201</f>
        <v>0.25522727272727275</v>
      </c>
      <c r="E45" s="1051">
        <f>+'PLAN DE DESARROLLO 2024 - 2027'!K201</f>
        <v>0.40487012987012988</v>
      </c>
    </row>
    <row r="46" spans="3:11" ht="29.4" customHeight="1" x14ac:dyDescent="0.3">
      <c r="C46" s="93"/>
      <c r="D46" s="101"/>
    </row>
    <row r="47" spans="3:11" ht="29.4" customHeight="1" x14ac:dyDescent="0.3">
      <c r="C47" s="93"/>
      <c r="D47" s="101"/>
    </row>
    <row r="48" spans="3:11" ht="28.8" x14ac:dyDescent="0.3">
      <c r="G48" s="91" t="s">
        <v>1585</v>
      </c>
    </row>
    <row r="49" spans="3:12" x14ac:dyDescent="0.3">
      <c r="C49" s="132"/>
      <c r="G49" s="91"/>
    </row>
    <row r="51" spans="3:12" ht="45" customHeight="1" x14ac:dyDescent="0.3">
      <c r="C51" s="131"/>
      <c r="D51" s="85" t="s">
        <v>2530</v>
      </c>
      <c r="E51" s="790" t="s">
        <v>2556</v>
      </c>
    </row>
    <row r="52" spans="3:12" ht="69" customHeight="1" x14ac:dyDescent="0.35">
      <c r="C52" s="89" t="str">
        <f>+'PLAN DE DESARROLLO 2024 - 2027'!B203</f>
        <v xml:space="preserve">Territorio Sitio de Paz y Pensamiento Colectivo
</v>
      </c>
      <c r="D52" s="782">
        <f>+M7</f>
        <v>0.33927250000000003</v>
      </c>
      <c r="E52" s="1051">
        <f>+'PLAN DE DESARROLLO 2024 - 2027'!K203</f>
        <v>0.37216203703703704</v>
      </c>
      <c r="L52" s="91" t="s">
        <v>1585</v>
      </c>
    </row>
    <row r="53" spans="3:12" ht="37.200000000000003" customHeight="1" x14ac:dyDescent="0.3">
      <c r="C53" s="87" t="str">
        <f>+'PLAN DE DESARROLLO 2024 - 2027'!B204</f>
        <v xml:space="preserve"> TERRITORIO PROPIO</v>
      </c>
      <c r="D53" s="103">
        <f>+'PLAN DE DESARROLLO 2024 - 2027'!M204</f>
        <v>0.17684166666666667</v>
      </c>
      <c r="E53" s="114">
        <f>+'PLAN DE DESARROLLO 2024 - 2027'!K204</f>
        <v>0.31381944444444443</v>
      </c>
    </row>
    <row r="54" spans="3:12" ht="48.6" customHeight="1" x14ac:dyDescent="0.3">
      <c r="C54" s="87" t="str">
        <f>+'PLAN DE DESARROLLO 2024 - 2027'!B205</f>
        <v xml:space="preserve"> ATENCIÓN INTEGRAL PARA LAS COMUNIDADES INDÍGENAS</v>
      </c>
      <c r="D54" s="103">
        <f>+'PLAN DE DESARROLLO 2024 - 2027'!M205</f>
        <v>0.31906666666666667</v>
      </c>
      <c r="E54" s="1056">
        <f>+'PLAN DE DESARROLLO 2024 - 2027'!K205</f>
        <v>0.33566666666666661</v>
      </c>
    </row>
    <row r="55" spans="3:12" ht="48.6" customHeight="1" x14ac:dyDescent="0.3">
      <c r="C55" s="87" t="str">
        <f>+'PLAN DE DESARROLLO 2024 - 2027'!B206</f>
        <v xml:space="preserve"> MUJER INDÍGENA, FAMILIA Y GENERACIÓN DE INGRESOS</v>
      </c>
      <c r="D55" s="103">
        <f>+'PLAN DE DESARROLLO 2024 - 2027'!M206</f>
        <v>0.47625000000000006</v>
      </c>
      <c r="E55" s="113">
        <f>+'PLAN DE DESARROLLO 2024 - 2027'!K206</f>
        <v>0.46699999999999997</v>
      </c>
    </row>
    <row r="59" spans="3:12" ht="14.4" customHeight="1" x14ac:dyDescent="0.3">
      <c r="C59"/>
    </row>
    <row r="60" spans="3:12" ht="36" customHeight="1" x14ac:dyDescent="0.3">
      <c r="C60"/>
    </row>
    <row r="61" spans="3:12" ht="55.95" customHeight="1" x14ac:dyDescent="0.3">
      <c r="C61" s="824"/>
      <c r="D61" s="825" t="s">
        <v>2527</v>
      </c>
    </row>
    <row r="62" spans="3:12" ht="54" x14ac:dyDescent="0.35">
      <c r="C62" s="826" t="str">
        <f>+K5</f>
        <v xml:space="preserve">CAPÍTULO DE LOS PUEBLOS Y COMUNIDADES ÉTNICAS
</v>
      </c>
      <c r="D62" s="1292">
        <f>+'PLAN DE DESARROLLO 2024 - 2027'!I198</f>
        <v>0.87047558922558932</v>
      </c>
    </row>
    <row r="63" spans="3:12" ht="75.599999999999994" customHeight="1" x14ac:dyDescent="0.3">
      <c r="C63" s="827" t="str">
        <f>+K6</f>
        <v xml:space="preserve"> Fortalecimiento al Desarrollo Afro-Territorial de la Población Negra, Afrocolombiana, Raizal y Palenquera
</v>
      </c>
      <c r="D63" s="1293">
        <f>+'PLAN DE DESARROLLO 2024 - 2027'!I199</f>
        <v>0.86391414141414147</v>
      </c>
    </row>
    <row r="64" spans="3:12" ht="47.4" customHeight="1" x14ac:dyDescent="0.3">
      <c r="C64" s="827" t="str">
        <f>+K7</f>
        <v xml:space="preserve">Territorio Sitio de Paz y Pensamiento Colectivo
</v>
      </c>
      <c r="D64" s="1293">
        <f>+'PLAN DE DESARROLLO 2024 - 2027'!I203</f>
        <v>0.87703703703703706</v>
      </c>
    </row>
    <row r="67" spans="3:3" x14ac:dyDescent="0.3">
      <c r="C67"/>
    </row>
    <row r="68" spans="3:3" x14ac:dyDescent="0.3">
      <c r="C68"/>
    </row>
    <row r="69" spans="3:3" x14ac:dyDescent="0.3">
      <c r="C69"/>
    </row>
    <row r="70" spans="3:3" x14ac:dyDescent="0.3">
      <c r="C70"/>
    </row>
    <row r="71" spans="3:3" x14ac:dyDescent="0.3">
      <c r="C71"/>
    </row>
    <row r="72" spans="3:3" ht="90.6" customHeight="1" x14ac:dyDescent="0.3">
      <c r="C72"/>
    </row>
    <row r="73" spans="3:3" x14ac:dyDescent="0.3">
      <c r="C73"/>
    </row>
    <row r="74" spans="3:3" x14ac:dyDescent="0.3">
      <c r="C74"/>
    </row>
    <row r="75" spans="3:3" x14ac:dyDescent="0.3">
      <c r="C75"/>
    </row>
    <row r="76" spans="3:3" x14ac:dyDescent="0.3">
      <c r="C76"/>
    </row>
    <row r="77" spans="3:3" x14ac:dyDescent="0.3">
      <c r="C77"/>
    </row>
    <row r="78" spans="3:3" x14ac:dyDescent="0.3">
      <c r="C78"/>
    </row>
    <row r="79" spans="3:3" x14ac:dyDescent="0.3">
      <c r="C79"/>
    </row>
    <row r="80" spans="3:3" x14ac:dyDescent="0.3">
      <c r="C80"/>
    </row>
    <row r="81" spans="3:3" x14ac:dyDescent="0.3">
      <c r="C81"/>
    </row>
    <row r="82" spans="3:3" x14ac:dyDescent="0.3">
      <c r="C82"/>
    </row>
  </sheetData>
  <sheetProtection password="DF7C" sheet="1" objects="1" scenarios="1"/>
  <mergeCells count="2">
    <mergeCell ref="K2:M3"/>
    <mergeCell ref="C2:F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396"/>
  <sheetViews>
    <sheetView topLeftCell="E1" zoomScale="60" zoomScaleNormal="60" workbookViewId="0">
      <selection activeCell="L4" sqref="L4"/>
    </sheetView>
  </sheetViews>
  <sheetFormatPr baseColWidth="10" defaultColWidth="11.44140625" defaultRowHeight="14.4" x14ac:dyDescent="0.3"/>
  <cols>
    <col min="1" max="1" width="42.44140625" style="869" customWidth="1"/>
    <col min="2" max="2" width="29" style="870" customWidth="1"/>
    <col min="3" max="3" width="43.44140625" style="869" customWidth="1"/>
    <col min="4" max="4" width="42.6640625" style="10" customWidth="1"/>
    <col min="5" max="5" width="62.88671875" style="869" customWidth="1"/>
    <col min="6" max="6" width="25.109375" style="870" hidden="1" customWidth="1"/>
    <col min="7" max="7" width="55.44140625" style="869" customWidth="1"/>
    <col min="8" max="8" width="71.6640625" style="869" customWidth="1"/>
    <col min="9" max="9" width="44.33203125" style="869" customWidth="1"/>
    <col min="10" max="10" width="55.44140625" style="869" customWidth="1"/>
    <col min="11" max="11" width="24.109375" style="10" customWidth="1"/>
    <col min="16" max="16" width="21.109375" style="865" customWidth="1"/>
  </cols>
  <sheetData>
    <row r="1" spans="1:16" ht="45.6" customHeight="1" thickBot="1" x14ac:dyDescent="0.35">
      <c r="A1" s="868" t="s">
        <v>2266</v>
      </c>
      <c r="B1" s="868" t="s">
        <v>2267</v>
      </c>
      <c r="C1" s="868" t="s">
        <v>1843</v>
      </c>
      <c r="D1" s="868" t="s">
        <v>2268</v>
      </c>
      <c r="E1" s="868" t="s">
        <v>2269</v>
      </c>
      <c r="F1" s="868" t="s">
        <v>2271</v>
      </c>
      <c r="G1" s="868" t="s">
        <v>2270</v>
      </c>
      <c r="H1" s="868" t="s">
        <v>2022</v>
      </c>
      <c r="I1" s="891" t="s">
        <v>2557</v>
      </c>
      <c r="J1" s="868" t="s">
        <v>1</v>
      </c>
    </row>
    <row r="2" spans="1:16" ht="43.8" thickBot="1" x14ac:dyDescent="0.35">
      <c r="A2" s="869" t="s">
        <v>2001</v>
      </c>
      <c r="B2" s="871">
        <f>'[1]PLAN DE DESARROLLO 2024 - 2027'!$K$198</f>
        <v>6.9685846560846545E-2</v>
      </c>
      <c r="C2" s="869" t="s">
        <v>2002</v>
      </c>
      <c r="D2" s="871">
        <f>'[1]PLAN DE DESARROLLO 2024 - 2027'!$K$199</f>
        <v>6.974206349206348E-2</v>
      </c>
      <c r="E2" s="888" t="s">
        <v>2003</v>
      </c>
      <c r="F2" s="872">
        <f>'[1]PLAN DE DESARROLLO 2024 - 2027'!$K$201</f>
        <v>0</v>
      </c>
      <c r="G2" s="869" t="s">
        <v>1084</v>
      </c>
      <c r="H2" s="889" t="s">
        <v>1085</v>
      </c>
      <c r="I2" s="898">
        <f>+'Capitulo Etnico'!Z15</f>
        <v>1</v>
      </c>
      <c r="J2" s="890" t="s">
        <v>162</v>
      </c>
      <c r="K2" s="873" t="s">
        <v>2004</v>
      </c>
      <c r="P2"/>
    </row>
    <row r="3" spans="1:16" ht="43.8" thickBot="1" x14ac:dyDescent="0.35">
      <c r="A3" s="869" t="s">
        <v>2001</v>
      </c>
      <c r="B3" s="871">
        <f>'[1]PLAN DE DESARROLLO 2024 - 2027'!$K$198</f>
        <v>6.9685846560846545E-2</v>
      </c>
      <c r="C3" s="869" t="s">
        <v>2002</v>
      </c>
      <c r="D3" s="871">
        <f>'[1]PLAN DE DESARROLLO 2024 - 2027'!$K$199</f>
        <v>6.974206349206348E-2</v>
      </c>
      <c r="E3" s="888" t="s">
        <v>2003</v>
      </c>
      <c r="F3" s="872">
        <f>'[1]PLAN DE DESARROLLO 2024 - 2027'!$K$201</f>
        <v>0</v>
      </c>
      <c r="G3" s="869" t="s">
        <v>1086</v>
      </c>
      <c r="H3" s="889" t="s">
        <v>1087</v>
      </c>
      <c r="I3" s="899">
        <f>+'Capitulo Etnico'!Z16</f>
        <v>0</v>
      </c>
      <c r="J3" s="890" t="s">
        <v>162</v>
      </c>
      <c r="K3" s="873" t="s">
        <v>2004</v>
      </c>
      <c r="P3"/>
    </row>
    <row r="4" spans="1:16" ht="43.8" thickBot="1" x14ac:dyDescent="0.35">
      <c r="A4" s="869" t="s">
        <v>2001</v>
      </c>
      <c r="B4" s="871">
        <f>'[1]PLAN DE DESARROLLO 2024 - 2027'!$K$198</f>
        <v>6.9685846560846545E-2</v>
      </c>
      <c r="C4" s="869" t="s">
        <v>2002</v>
      </c>
      <c r="D4" s="871">
        <f>'[1]PLAN DE DESARROLLO 2024 - 2027'!$K$199</f>
        <v>6.974206349206348E-2</v>
      </c>
      <c r="E4" s="888" t="s">
        <v>2003</v>
      </c>
      <c r="F4" s="872">
        <f>'[1]PLAN DE DESARROLLO 2024 - 2027'!$K$201</f>
        <v>0</v>
      </c>
      <c r="G4" s="869" t="s">
        <v>1088</v>
      </c>
      <c r="H4" s="889" t="s">
        <v>1089</v>
      </c>
      <c r="I4" s="899">
        <f>+'Capitulo Etnico'!Z17</f>
        <v>0.25</v>
      </c>
      <c r="J4" s="890" t="s">
        <v>620</v>
      </c>
      <c r="K4" s="873" t="s">
        <v>2004</v>
      </c>
      <c r="P4"/>
    </row>
    <row r="5" spans="1:16" ht="43.8" thickBot="1" x14ac:dyDescent="0.35">
      <c r="A5" s="869" t="s">
        <v>2001</v>
      </c>
      <c r="B5" s="871">
        <f>'[1]PLAN DE DESARROLLO 2024 - 2027'!$K$198</f>
        <v>6.9685846560846545E-2</v>
      </c>
      <c r="C5" s="869" t="s">
        <v>2002</v>
      </c>
      <c r="D5" s="871">
        <f>'[1]PLAN DE DESARROLLO 2024 - 2027'!$K$199</f>
        <v>6.974206349206348E-2</v>
      </c>
      <c r="E5" s="888" t="s">
        <v>2003</v>
      </c>
      <c r="F5" s="872">
        <f>'[1]PLAN DE DESARROLLO 2024 - 2027'!$K$201</f>
        <v>0</v>
      </c>
      <c r="G5" s="869" t="s">
        <v>1090</v>
      </c>
      <c r="H5" s="889" t="s">
        <v>1091</v>
      </c>
      <c r="I5" s="899">
        <f>+'Capitulo Etnico'!Z18</f>
        <v>0.25</v>
      </c>
      <c r="J5" s="890" t="s">
        <v>620</v>
      </c>
      <c r="K5" s="873" t="s">
        <v>2004</v>
      </c>
      <c r="P5"/>
    </row>
    <row r="6" spans="1:16" ht="58.2" thickBot="1" x14ac:dyDescent="0.35">
      <c r="A6" s="869" t="s">
        <v>2001</v>
      </c>
      <c r="B6" s="871">
        <f>'[1]PLAN DE DESARROLLO 2024 - 2027'!$K$198</f>
        <v>6.9685846560846545E-2</v>
      </c>
      <c r="C6" s="869" t="s">
        <v>2002</v>
      </c>
      <c r="D6" s="871">
        <f>'[1]PLAN DE DESARROLLO 2024 - 2027'!$K$199</f>
        <v>6.974206349206348E-2</v>
      </c>
      <c r="E6" s="888" t="s">
        <v>2003</v>
      </c>
      <c r="F6" s="872">
        <f>'[1]PLAN DE DESARROLLO 2024 - 2027'!$K$201</f>
        <v>0</v>
      </c>
      <c r="G6" s="869" t="s">
        <v>1092</v>
      </c>
      <c r="H6" s="889" t="s">
        <v>1093</v>
      </c>
      <c r="I6" s="899">
        <f>+'Capitulo Etnico'!Z19</f>
        <v>1</v>
      </c>
      <c r="J6" s="890" t="s">
        <v>707</v>
      </c>
      <c r="K6" s="873" t="s">
        <v>2004</v>
      </c>
      <c r="P6"/>
    </row>
    <row r="7" spans="1:16" ht="43.8" thickBot="1" x14ac:dyDescent="0.35">
      <c r="A7" s="869" t="s">
        <v>2001</v>
      </c>
      <c r="B7" s="871">
        <f>'[1]PLAN DE DESARROLLO 2024 - 2027'!$K$198</f>
        <v>6.9685846560846545E-2</v>
      </c>
      <c r="C7" s="869" t="s">
        <v>2002</v>
      </c>
      <c r="D7" s="871">
        <f>'[1]PLAN DE DESARROLLO 2024 - 2027'!$K$199</f>
        <v>6.974206349206348E-2</v>
      </c>
      <c r="E7" s="888" t="s">
        <v>2003</v>
      </c>
      <c r="F7" s="872">
        <f>'[1]PLAN DE DESARROLLO 2024 - 2027'!$K$201</f>
        <v>0</v>
      </c>
      <c r="G7" s="869" t="s">
        <v>1094</v>
      </c>
      <c r="H7" s="889" t="s">
        <v>1095</v>
      </c>
      <c r="I7" s="899">
        <f>+'Capitulo Etnico'!Z20</f>
        <v>0.15909090909090909</v>
      </c>
      <c r="J7" s="890" t="s">
        <v>707</v>
      </c>
      <c r="K7" s="873" t="s">
        <v>2004</v>
      </c>
      <c r="P7"/>
    </row>
    <row r="8" spans="1:16" ht="43.8" thickBot="1" x14ac:dyDescent="0.35">
      <c r="A8" s="869" t="s">
        <v>2001</v>
      </c>
      <c r="B8" s="871">
        <f>'[1]PLAN DE DESARROLLO 2024 - 2027'!$K$198</f>
        <v>6.9685846560846545E-2</v>
      </c>
      <c r="C8" s="869" t="s">
        <v>2002</v>
      </c>
      <c r="D8" s="871">
        <f>'[1]PLAN DE DESARROLLO 2024 - 2027'!$K$199</f>
        <v>6.974206349206348E-2</v>
      </c>
      <c r="E8" s="888" t="s">
        <v>2003</v>
      </c>
      <c r="F8" s="872">
        <f>'[1]PLAN DE DESARROLLO 2024 - 2027'!$K$201</f>
        <v>0</v>
      </c>
      <c r="G8" s="869" t="s">
        <v>1096</v>
      </c>
      <c r="H8" s="889" t="s">
        <v>1097</v>
      </c>
      <c r="I8" s="899">
        <f>+'Capitulo Etnico'!Z21</f>
        <v>0.17499999999999999</v>
      </c>
      <c r="J8" s="890" t="s">
        <v>551</v>
      </c>
      <c r="K8" s="873" t="s">
        <v>2004</v>
      </c>
      <c r="P8"/>
    </row>
    <row r="9" spans="1:16" ht="43.8" thickBot="1" x14ac:dyDescent="0.35">
      <c r="A9" s="869" t="s">
        <v>2001</v>
      </c>
      <c r="B9" s="871">
        <f>'[1]PLAN DE DESARROLLO 2024 - 2027'!$K$198</f>
        <v>6.9685846560846545E-2</v>
      </c>
      <c r="C9" s="869" t="s">
        <v>2005</v>
      </c>
      <c r="D9" s="871">
        <f>'[1]PLAN DE DESARROLLO 2024 - 2027'!$K$203</f>
        <v>6.9629629629629611E-2</v>
      </c>
      <c r="E9" s="888" t="s">
        <v>1840</v>
      </c>
      <c r="F9" s="872">
        <f>'[1]PLAN DE DESARROLLO 2024 - 2027'!$K$205</f>
        <v>0</v>
      </c>
      <c r="G9" s="869" t="s">
        <v>1130</v>
      </c>
      <c r="H9" s="889" t="s">
        <v>1131</v>
      </c>
      <c r="I9" s="899">
        <f>+'Capitulo Etnico'!Z41</f>
        <v>8.3333333333333329E-2</v>
      </c>
      <c r="J9" s="890" t="s">
        <v>162</v>
      </c>
      <c r="K9" s="873" t="s">
        <v>2004</v>
      </c>
      <c r="P9"/>
    </row>
    <row r="10" spans="1:16" ht="29.4" thickBot="1" x14ac:dyDescent="0.35">
      <c r="A10" s="869" t="s">
        <v>2001</v>
      </c>
      <c r="B10" s="871">
        <f>'[1]PLAN DE DESARROLLO 2024 - 2027'!$K$198</f>
        <v>6.9685846560846545E-2</v>
      </c>
      <c r="C10" s="869" t="s">
        <v>2005</v>
      </c>
      <c r="D10" s="871">
        <f>'[1]PLAN DE DESARROLLO 2024 - 2027'!$K$203</f>
        <v>6.9629629629629611E-2</v>
      </c>
      <c r="E10" s="888" t="s">
        <v>1840</v>
      </c>
      <c r="F10" s="872">
        <f>'[1]PLAN DE DESARROLLO 2024 - 2027'!$K$205</f>
        <v>0</v>
      </c>
      <c r="G10" s="869" t="s">
        <v>1132</v>
      </c>
      <c r="H10" s="889" t="s">
        <v>1133</v>
      </c>
      <c r="I10" s="899">
        <f>+'Capitulo Etnico'!Z42</f>
        <v>0.25</v>
      </c>
      <c r="J10" s="890" t="s">
        <v>162</v>
      </c>
      <c r="K10" s="873" t="s">
        <v>2004</v>
      </c>
      <c r="P10"/>
    </row>
    <row r="11" spans="1:16" ht="29.4" thickBot="1" x14ac:dyDescent="0.35">
      <c r="A11" s="869" t="s">
        <v>2001</v>
      </c>
      <c r="B11" s="871">
        <f>'[1]PLAN DE DESARROLLO 2024 - 2027'!$K$198</f>
        <v>6.9685846560846545E-2</v>
      </c>
      <c r="C11" s="869" t="s">
        <v>2005</v>
      </c>
      <c r="D11" s="871">
        <f>'[1]PLAN DE DESARROLLO 2024 - 2027'!$K$203</f>
        <v>6.9629629629629611E-2</v>
      </c>
      <c r="E11" s="888" t="s">
        <v>1840</v>
      </c>
      <c r="F11" s="872">
        <f>'[1]PLAN DE DESARROLLO 2024 - 2027'!$K$205</f>
        <v>0</v>
      </c>
      <c r="G11" s="869" t="s">
        <v>1134</v>
      </c>
      <c r="H11" s="889" t="s">
        <v>1135</v>
      </c>
      <c r="I11" s="899">
        <f>+'Capitulo Etnico'!Z43</f>
        <v>0.314</v>
      </c>
      <c r="J11" s="890" t="s">
        <v>58</v>
      </c>
      <c r="K11" s="873" t="s">
        <v>2004</v>
      </c>
      <c r="P11"/>
    </row>
    <row r="12" spans="1:16" ht="43.8" thickBot="1" x14ac:dyDescent="0.35">
      <c r="A12" s="869" t="s">
        <v>2001</v>
      </c>
      <c r="B12" s="871">
        <f>'[1]PLAN DE DESARROLLO 2024 - 2027'!$K$198</f>
        <v>6.9685846560846545E-2</v>
      </c>
      <c r="C12" s="869" t="s">
        <v>2005</v>
      </c>
      <c r="D12" s="871">
        <f>'[1]PLAN DE DESARROLLO 2024 - 2027'!$K$203</f>
        <v>6.9629629629629611E-2</v>
      </c>
      <c r="E12" s="888" t="s">
        <v>1840</v>
      </c>
      <c r="F12" s="872">
        <f>'[1]PLAN DE DESARROLLO 2024 - 2027'!$K$205</f>
        <v>0</v>
      </c>
      <c r="G12" s="869" t="s">
        <v>1136</v>
      </c>
      <c r="H12" s="889" t="s">
        <v>1137</v>
      </c>
      <c r="I12" s="899">
        <f>+'Capitulo Etnico'!Z44</f>
        <v>0.25</v>
      </c>
      <c r="J12" s="890" t="s">
        <v>620</v>
      </c>
      <c r="K12" s="873" t="s">
        <v>2004</v>
      </c>
      <c r="P12"/>
    </row>
    <row r="13" spans="1:16" ht="58.2" thickBot="1" x14ac:dyDescent="0.35">
      <c r="A13" s="869" t="s">
        <v>2001</v>
      </c>
      <c r="B13" s="871">
        <f>'[1]PLAN DE DESARROLLO 2024 - 2027'!$K$198</f>
        <v>6.9685846560846545E-2</v>
      </c>
      <c r="C13" s="869" t="s">
        <v>2005</v>
      </c>
      <c r="D13" s="871">
        <f>'[1]PLAN DE DESARROLLO 2024 - 2027'!$K$203</f>
        <v>6.9629629629629611E-2</v>
      </c>
      <c r="E13" s="888" t="s">
        <v>1840</v>
      </c>
      <c r="F13" s="872">
        <f>'[1]PLAN DE DESARROLLO 2024 - 2027'!$K$205</f>
        <v>0</v>
      </c>
      <c r="G13" s="869" t="s">
        <v>1138</v>
      </c>
      <c r="H13" s="889" t="s">
        <v>1139</v>
      </c>
      <c r="I13" s="899">
        <f>+'Capitulo Etnico'!Z45</f>
        <v>0.85</v>
      </c>
      <c r="J13" s="890" t="s">
        <v>565</v>
      </c>
      <c r="K13" s="873" t="s">
        <v>2004</v>
      </c>
      <c r="P13"/>
    </row>
    <row r="14" spans="1:16" ht="29.4" thickBot="1" x14ac:dyDescent="0.35">
      <c r="A14" s="869" t="s">
        <v>2001</v>
      </c>
      <c r="B14" s="871">
        <f>'[1]PLAN DE DESARROLLO 2024 - 2027'!$K$198</f>
        <v>6.9685846560846545E-2</v>
      </c>
      <c r="C14" s="869" t="s">
        <v>2005</v>
      </c>
      <c r="D14" s="871">
        <f>'[1]PLAN DE DESARROLLO 2024 - 2027'!$K$203</f>
        <v>6.9629629629629611E-2</v>
      </c>
      <c r="E14" s="888" t="s">
        <v>1840</v>
      </c>
      <c r="F14" s="872">
        <f>'[1]PLAN DE DESARROLLO 2024 - 2027'!$K$205</f>
        <v>0</v>
      </c>
      <c r="G14" s="869" t="s">
        <v>1140</v>
      </c>
      <c r="H14" s="889" t="s">
        <v>1141</v>
      </c>
      <c r="I14" s="899">
        <f>+'Capitulo Etnico'!Z46</f>
        <v>0.26666666666666666</v>
      </c>
      <c r="J14" s="890" t="s">
        <v>707</v>
      </c>
      <c r="K14" s="873" t="s">
        <v>2004</v>
      </c>
      <c r="P14"/>
    </row>
    <row r="15" spans="1:16" ht="29.4" thickBot="1" x14ac:dyDescent="0.35">
      <c r="A15" s="869" t="s">
        <v>2001</v>
      </c>
      <c r="B15" s="871">
        <f>'[1]PLAN DE DESARROLLO 2024 - 2027'!$K$198</f>
        <v>6.9685846560846545E-2</v>
      </c>
      <c r="C15" s="869" t="s">
        <v>2005</v>
      </c>
      <c r="D15" s="871">
        <f>'[1]PLAN DE DESARROLLO 2024 - 2027'!$K$203</f>
        <v>6.9629629629629611E-2</v>
      </c>
      <c r="E15" s="869" t="s">
        <v>1841</v>
      </c>
      <c r="F15" s="872">
        <f>'[1]PLAN DE DESARROLLO 2024 - 2027'!$K$206</f>
        <v>6.9999999999999993E-2</v>
      </c>
      <c r="G15" s="869" t="s">
        <v>1142</v>
      </c>
      <c r="H15" s="889" t="s">
        <v>1143</v>
      </c>
      <c r="I15" s="899">
        <f>+'Capitulo Etnico'!Z48</f>
        <v>1</v>
      </c>
      <c r="J15" s="890" t="s">
        <v>58</v>
      </c>
      <c r="K15" s="873" t="s">
        <v>2004</v>
      </c>
      <c r="P15"/>
    </row>
    <row r="16" spans="1:16" ht="29.4" thickBot="1" x14ac:dyDescent="0.35">
      <c r="A16" s="869" t="s">
        <v>2001</v>
      </c>
      <c r="B16" s="871">
        <f>'[1]PLAN DE DESARROLLO 2024 - 2027'!$K$198</f>
        <v>6.9685846560846545E-2</v>
      </c>
      <c r="C16" s="869" t="s">
        <v>2005</v>
      </c>
      <c r="D16" s="871">
        <f>'[1]PLAN DE DESARROLLO 2024 - 2027'!$K$203</f>
        <v>6.9629629629629611E-2</v>
      </c>
      <c r="E16" s="869" t="s">
        <v>1841</v>
      </c>
      <c r="F16" s="872">
        <f>'[1]PLAN DE DESARROLLO 2024 - 2027'!$K$206</f>
        <v>6.9999999999999993E-2</v>
      </c>
      <c r="G16" s="869" t="s">
        <v>1144</v>
      </c>
      <c r="H16" s="889" t="s">
        <v>1145</v>
      </c>
      <c r="I16" s="899">
        <f>+'Capitulo Etnico'!Z49</f>
        <v>0.38500000000000001</v>
      </c>
      <c r="J16" s="890" t="s">
        <v>297</v>
      </c>
      <c r="K16" s="873" t="s">
        <v>2004</v>
      </c>
      <c r="P16"/>
    </row>
    <row r="17" spans="1:16" ht="43.8" thickBot="1" x14ac:dyDescent="0.35">
      <c r="A17" s="869" t="s">
        <v>2001</v>
      </c>
      <c r="B17" s="871">
        <f>'[1]PLAN DE DESARROLLO 2024 - 2027'!$K$198</f>
        <v>6.9685846560846545E-2</v>
      </c>
      <c r="C17" s="869" t="s">
        <v>2005</v>
      </c>
      <c r="D17" s="871">
        <f>'[1]PLAN DE DESARROLLO 2024 - 2027'!$K$203</f>
        <v>6.9629629629629611E-2</v>
      </c>
      <c r="E17" s="869" t="s">
        <v>1841</v>
      </c>
      <c r="F17" s="872">
        <f>'[1]PLAN DE DESARROLLO 2024 - 2027'!$K$206</f>
        <v>6.9999999999999993E-2</v>
      </c>
      <c r="G17" s="869" t="s">
        <v>1147</v>
      </c>
      <c r="H17" s="889" t="s">
        <v>1148</v>
      </c>
      <c r="I17" s="899">
        <f>+'Capitulo Etnico'!Z50</f>
        <v>0.25</v>
      </c>
      <c r="J17" s="890" t="s">
        <v>516</v>
      </c>
      <c r="K17" s="873" t="s">
        <v>2004</v>
      </c>
      <c r="P17"/>
    </row>
    <row r="18" spans="1:16" ht="29.4" thickBot="1" x14ac:dyDescent="0.35">
      <c r="A18" s="869" t="s">
        <v>2001</v>
      </c>
      <c r="B18" s="871">
        <f>'[1]PLAN DE DESARROLLO 2024 - 2027'!$K$198</f>
        <v>6.9685846560846545E-2</v>
      </c>
      <c r="C18" s="869" t="s">
        <v>2005</v>
      </c>
      <c r="D18" s="871">
        <f>'[1]PLAN DE DESARROLLO 2024 - 2027'!$K$203</f>
        <v>6.9629629629629611E-2</v>
      </c>
      <c r="E18" s="869" t="s">
        <v>1841</v>
      </c>
      <c r="F18" s="872">
        <f>'[1]PLAN DE DESARROLLO 2024 - 2027'!$K$206</f>
        <v>6.9999999999999993E-2</v>
      </c>
      <c r="G18" s="869" t="s">
        <v>1149</v>
      </c>
      <c r="H18" s="889" t="s">
        <v>1150</v>
      </c>
      <c r="I18" s="899">
        <f>+'Capitulo Etnico'!Z51</f>
        <v>0.3</v>
      </c>
      <c r="J18" s="890" t="s">
        <v>1151</v>
      </c>
      <c r="K18" s="873" t="s">
        <v>2004</v>
      </c>
      <c r="P18"/>
    </row>
    <row r="19" spans="1:16" ht="29.4" thickBot="1" x14ac:dyDescent="0.35">
      <c r="A19" s="869" t="s">
        <v>2001</v>
      </c>
      <c r="B19" s="871">
        <f>'[1]PLAN DE DESARROLLO 2024 - 2027'!$K$198</f>
        <v>6.9685846560846545E-2</v>
      </c>
      <c r="C19" s="869" t="s">
        <v>2005</v>
      </c>
      <c r="D19" s="871">
        <f>'[1]PLAN DE DESARROLLO 2024 - 2027'!$K$203</f>
        <v>6.9629629629629611E-2</v>
      </c>
      <c r="E19" s="869" t="s">
        <v>1841</v>
      </c>
      <c r="F19" s="872">
        <f>'[1]PLAN DE DESARROLLO 2024 - 2027'!$K$206</f>
        <v>6.9999999999999993E-2</v>
      </c>
      <c r="G19" s="869" t="s">
        <v>1152</v>
      </c>
      <c r="H19" s="889" t="s">
        <v>1153</v>
      </c>
      <c r="I19" s="900">
        <f>+'Capitulo Etnico'!Z52</f>
        <v>0.4</v>
      </c>
      <c r="J19" s="890" t="s">
        <v>1151</v>
      </c>
      <c r="K19" s="873" t="s">
        <v>2004</v>
      </c>
      <c r="P19"/>
    </row>
    <row r="20" spans="1:16" ht="43.8" thickBot="1" x14ac:dyDescent="0.35">
      <c r="A20" s="869" t="s">
        <v>2001</v>
      </c>
      <c r="B20" s="871">
        <f>'[1]PLAN DE DESARROLLO 2024 - 2027'!$K$198</f>
        <v>6.9685846560846545E-2</v>
      </c>
      <c r="C20" s="869" t="s">
        <v>2002</v>
      </c>
      <c r="D20" s="871">
        <f>'[1]PLAN DE DESARROLLO 2024 - 2027'!$K$199</f>
        <v>6.974206349206348E-2</v>
      </c>
      <c r="E20" s="869" t="s">
        <v>2006</v>
      </c>
      <c r="F20" s="872">
        <f>'[1]PLAN DE DESARROLLO 2024 - 2027'!$K$200</f>
        <v>0.15208333333333332</v>
      </c>
      <c r="G20" s="869" t="s">
        <v>1066</v>
      </c>
      <c r="H20" s="889" t="s">
        <v>1067</v>
      </c>
      <c r="I20" s="901">
        <f>+'Capitulo Etnico'!Z6</f>
        <v>0.48333333333333334</v>
      </c>
      <c r="J20" s="890" t="s">
        <v>2007</v>
      </c>
      <c r="K20" s="873" t="s">
        <v>2004</v>
      </c>
      <c r="P20"/>
    </row>
    <row r="21" spans="1:16" ht="43.8" thickBot="1" x14ac:dyDescent="0.35">
      <c r="A21" s="869" t="s">
        <v>2001</v>
      </c>
      <c r="B21" s="871">
        <f>'[1]PLAN DE DESARROLLO 2024 - 2027'!$K$198</f>
        <v>6.9685846560846545E-2</v>
      </c>
      <c r="C21" s="869" t="s">
        <v>2002</v>
      </c>
      <c r="D21" s="871">
        <f>'[1]PLAN DE DESARROLLO 2024 - 2027'!$K$199</f>
        <v>6.974206349206348E-2</v>
      </c>
      <c r="E21" s="869" t="s">
        <v>2006</v>
      </c>
      <c r="F21" s="872">
        <f>'[1]PLAN DE DESARROLLO 2024 - 2027'!$K$200</f>
        <v>0.15208333333333332</v>
      </c>
      <c r="G21" s="869" t="s">
        <v>1069</v>
      </c>
      <c r="H21" s="889" t="s">
        <v>1070</v>
      </c>
      <c r="I21" s="901">
        <f>+'Capitulo Etnico'!Z7</f>
        <v>0.66400000000000003</v>
      </c>
      <c r="J21" s="890" t="s">
        <v>2008</v>
      </c>
      <c r="K21" s="873" t="s">
        <v>2004</v>
      </c>
      <c r="P21"/>
    </row>
    <row r="22" spans="1:16" ht="43.8" thickBot="1" x14ac:dyDescent="0.35">
      <c r="A22" s="869" t="s">
        <v>2001</v>
      </c>
      <c r="B22" s="871">
        <f>'[1]PLAN DE DESARROLLO 2024 - 2027'!$K$198</f>
        <v>6.9685846560846545E-2</v>
      </c>
      <c r="C22" s="869" t="s">
        <v>2002</v>
      </c>
      <c r="D22" s="871">
        <f>'[1]PLAN DE DESARROLLO 2024 - 2027'!$K$199</f>
        <v>6.974206349206348E-2</v>
      </c>
      <c r="E22" s="869" t="s">
        <v>2006</v>
      </c>
      <c r="F22" s="872">
        <f>'[1]PLAN DE DESARROLLO 2024 - 2027'!$K$200</f>
        <v>0.15208333333333332</v>
      </c>
      <c r="G22" s="869" t="s">
        <v>1072</v>
      </c>
      <c r="H22" s="889" t="s">
        <v>1073</v>
      </c>
      <c r="I22" s="901">
        <f>+'Capitulo Etnico'!Z8</f>
        <v>0.5</v>
      </c>
      <c r="J22" s="890" t="s">
        <v>2007</v>
      </c>
      <c r="K22" s="873" t="s">
        <v>2004</v>
      </c>
      <c r="P22"/>
    </row>
    <row r="23" spans="1:16" ht="43.8" thickBot="1" x14ac:dyDescent="0.35">
      <c r="A23" s="869" t="s">
        <v>2001</v>
      </c>
      <c r="B23" s="871">
        <f>'[1]PLAN DE DESARROLLO 2024 - 2027'!$K$198</f>
        <v>6.9685846560846545E-2</v>
      </c>
      <c r="C23" s="869" t="s">
        <v>2002</v>
      </c>
      <c r="D23" s="871">
        <f>'[1]PLAN DE DESARROLLO 2024 - 2027'!$K$199</f>
        <v>6.974206349206348E-2</v>
      </c>
      <c r="E23" s="869" t="s">
        <v>2006</v>
      </c>
      <c r="F23" s="872">
        <f>'[1]PLAN DE DESARROLLO 2024 - 2027'!$K$200</f>
        <v>0.15208333333333332</v>
      </c>
      <c r="G23" s="869" t="s">
        <v>2009</v>
      </c>
      <c r="H23" s="889" t="s">
        <v>2010</v>
      </c>
      <c r="I23" s="901">
        <f>+'Capitulo Etnico'!Z9</f>
        <v>0</v>
      </c>
      <c r="J23" s="890" t="s">
        <v>2007</v>
      </c>
      <c r="K23" s="873" t="s">
        <v>2004</v>
      </c>
      <c r="P23"/>
    </row>
    <row r="24" spans="1:16" ht="43.8" thickBot="1" x14ac:dyDescent="0.35">
      <c r="A24" s="869" t="s">
        <v>2001</v>
      </c>
      <c r="B24" s="871">
        <f>'[1]PLAN DE DESARROLLO 2024 - 2027'!$K$198</f>
        <v>6.9685846560846545E-2</v>
      </c>
      <c r="C24" s="869" t="s">
        <v>2002</v>
      </c>
      <c r="D24" s="871">
        <f>'[1]PLAN DE DESARROLLO 2024 - 2027'!$K$199</f>
        <v>6.974206349206348E-2</v>
      </c>
      <c r="E24" s="869" t="s">
        <v>2006</v>
      </c>
      <c r="F24" s="872">
        <f>'[1]PLAN DE DESARROLLO 2024 - 2027'!$K$200</f>
        <v>0.15208333333333332</v>
      </c>
      <c r="G24" s="869" t="s">
        <v>1076</v>
      </c>
      <c r="H24" s="889" t="s">
        <v>1077</v>
      </c>
      <c r="I24" s="901">
        <f>+'Capitulo Etnico'!Z10</f>
        <v>0</v>
      </c>
      <c r="J24" s="890" t="s">
        <v>2007</v>
      </c>
      <c r="K24" s="873" t="s">
        <v>2004</v>
      </c>
      <c r="P24"/>
    </row>
    <row r="25" spans="1:16" ht="43.8" thickBot="1" x14ac:dyDescent="0.35">
      <c r="A25" s="869" t="s">
        <v>2001</v>
      </c>
      <c r="B25" s="871">
        <f>'[1]PLAN DE DESARROLLO 2024 - 2027'!$K$198</f>
        <v>6.9685846560846545E-2</v>
      </c>
      <c r="C25" s="869" t="s">
        <v>2002</v>
      </c>
      <c r="D25" s="871">
        <f>'[1]PLAN DE DESARROLLO 2024 - 2027'!$K$199</f>
        <v>6.974206349206348E-2</v>
      </c>
      <c r="E25" s="869" t="s">
        <v>2006</v>
      </c>
      <c r="F25" s="872">
        <f>'[1]PLAN DE DESARROLLO 2024 - 2027'!$K$200</f>
        <v>0.15208333333333332</v>
      </c>
      <c r="G25" s="869" t="s">
        <v>1078</v>
      </c>
      <c r="H25" s="889" t="s">
        <v>1079</v>
      </c>
      <c r="I25" s="901">
        <f>+'Capitulo Etnico'!Z11</f>
        <v>0</v>
      </c>
      <c r="J25" s="890" t="s">
        <v>2007</v>
      </c>
      <c r="K25" s="873" t="s">
        <v>2004</v>
      </c>
      <c r="P25"/>
    </row>
    <row r="26" spans="1:16" ht="43.8" thickBot="1" x14ac:dyDescent="0.35">
      <c r="A26" s="869" t="s">
        <v>2001</v>
      </c>
      <c r="B26" s="871">
        <f>'[1]PLAN DE DESARROLLO 2024 - 2027'!$K$198</f>
        <v>6.9685846560846545E-2</v>
      </c>
      <c r="C26" s="869" t="s">
        <v>2002</v>
      </c>
      <c r="D26" s="871">
        <f>'[1]PLAN DE DESARROLLO 2024 - 2027'!$K$199</f>
        <v>6.974206349206348E-2</v>
      </c>
      <c r="E26" s="869" t="s">
        <v>2006</v>
      </c>
      <c r="F26" s="872">
        <f>'[1]PLAN DE DESARROLLO 2024 - 2027'!$K$200</f>
        <v>0.15208333333333332</v>
      </c>
      <c r="G26" s="869" t="s">
        <v>1080</v>
      </c>
      <c r="H26" s="889" t="s">
        <v>1081</v>
      </c>
      <c r="I26" s="901">
        <f>+'Capitulo Etnico'!Z12</f>
        <v>0</v>
      </c>
      <c r="J26" s="890" t="s">
        <v>2007</v>
      </c>
      <c r="K26" s="873" t="s">
        <v>2004</v>
      </c>
      <c r="P26"/>
    </row>
    <row r="27" spans="1:16" ht="43.8" thickBot="1" x14ac:dyDescent="0.35">
      <c r="A27" s="869" t="s">
        <v>2001</v>
      </c>
      <c r="B27" s="871">
        <f>'[1]PLAN DE DESARROLLO 2024 - 2027'!$K$198</f>
        <v>6.9685846560846545E-2</v>
      </c>
      <c r="C27" s="869" t="s">
        <v>2002</v>
      </c>
      <c r="D27" s="871">
        <f>'[1]PLAN DE DESARROLLO 2024 - 2027'!$K$199</f>
        <v>6.974206349206348E-2</v>
      </c>
      <c r="E27" s="869" t="s">
        <v>2006</v>
      </c>
      <c r="F27" s="872">
        <f>'[1]PLAN DE DESARROLLO 2024 - 2027'!$K$200</f>
        <v>0.15208333333333332</v>
      </c>
      <c r="G27" s="869" t="s">
        <v>1082</v>
      </c>
      <c r="H27" s="889" t="s">
        <v>1083</v>
      </c>
      <c r="I27" s="901">
        <f>+'Capitulo Etnico'!Z13</f>
        <v>0.20424242424242423</v>
      </c>
      <c r="J27" s="890" t="s">
        <v>2007</v>
      </c>
      <c r="K27" s="873" t="s">
        <v>2004</v>
      </c>
      <c r="P27"/>
    </row>
    <row r="28" spans="1:16" ht="58.2" thickBot="1" x14ac:dyDescent="0.35">
      <c r="A28" s="869" t="s">
        <v>2001</v>
      </c>
      <c r="B28" s="871">
        <f>'[1]PLAN DE DESARROLLO 2024 - 2027'!$K$198</f>
        <v>6.9685846560846545E-2</v>
      </c>
      <c r="C28" s="869" t="s">
        <v>2002</v>
      </c>
      <c r="D28" s="871">
        <f>'[1]PLAN DE DESARROLLO 2024 - 2027'!$K$199</f>
        <v>6.974206349206348E-2</v>
      </c>
      <c r="E28" s="869" t="s">
        <v>2011</v>
      </c>
      <c r="F28" s="872">
        <f>'[1]PLAN DE DESARROLLO 2024 - 2027'!$K$202</f>
        <v>5.7142857142857141E-2</v>
      </c>
      <c r="G28" s="869" t="s">
        <v>1098</v>
      </c>
      <c r="H28" s="869" t="s">
        <v>1099</v>
      </c>
      <c r="I28" s="901">
        <f>+'Capitulo Etnico'!Z23</f>
        <v>0.6</v>
      </c>
      <c r="J28" s="869" t="s">
        <v>560</v>
      </c>
      <c r="K28" s="873" t="s">
        <v>2004</v>
      </c>
      <c r="P28"/>
    </row>
    <row r="29" spans="1:16" ht="43.8" thickBot="1" x14ac:dyDescent="0.35">
      <c r="A29" s="869" t="s">
        <v>2001</v>
      </c>
      <c r="B29" s="871">
        <f>'[1]PLAN DE DESARROLLO 2024 - 2027'!$K$198</f>
        <v>6.9685846560846545E-2</v>
      </c>
      <c r="C29" s="869" t="s">
        <v>2002</v>
      </c>
      <c r="D29" s="871">
        <f>'[1]PLAN DE DESARROLLO 2024 - 2027'!$K$199</f>
        <v>6.974206349206348E-2</v>
      </c>
      <c r="E29" s="869" t="s">
        <v>2011</v>
      </c>
      <c r="F29" s="872">
        <f>'[1]PLAN DE DESARROLLO 2024 - 2027'!$K$202</f>
        <v>5.7142857142857141E-2</v>
      </c>
      <c r="G29" s="869" t="s">
        <v>1100</v>
      </c>
      <c r="H29" s="869" t="s">
        <v>1101</v>
      </c>
      <c r="I29" s="902">
        <f>+'Capitulo Etnico'!Z24</f>
        <v>0</v>
      </c>
      <c r="J29" s="869" t="s">
        <v>698</v>
      </c>
      <c r="K29" s="873" t="s">
        <v>2004</v>
      </c>
      <c r="P29"/>
    </row>
    <row r="30" spans="1:16" ht="43.8" thickBot="1" x14ac:dyDescent="0.35">
      <c r="A30" s="869" t="s">
        <v>2001</v>
      </c>
      <c r="B30" s="871">
        <f>'[1]PLAN DE DESARROLLO 2024 - 2027'!$K$198</f>
        <v>6.9685846560846545E-2</v>
      </c>
      <c r="C30" s="869" t="s">
        <v>2002</v>
      </c>
      <c r="D30" s="871">
        <f>'[1]PLAN DE DESARROLLO 2024 - 2027'!$K$199</f>
        <v>6.974206349206348E-2</v>
      </c>
      <c r="E30" s="869" t="s">
        <v>2011</v>
      </c>
      <c r="F30" s="872">
        <f>'[1]PLAN DE DESARROLLO 2024 - 2027'!$K$202</f>
        <v>5.7142857142857141E-2</v>
      </c>
      <c r="G30" s="869" t="s">
        <v>1102</v>
      </c>
      <c r="H30" s="869" t="s">
        <v>1103</v>
      </c>
      <c r="I30" s="902">
        <f>+'Capitulo Etnico'!Z25</f>
        <v>0.85</v>
      </c>
      <c r="J30" s="869" t="s">
        <v>565</v>
      </c>
      <c r="K30" s="873" t="s">
        <v>2004</v>
      </c>
      <c r="P30"/>
    </row>
    <row r="31" spans="1:16" ht="43.8" thickBot="1" x14ac:dyDescent="0.35">
      <c r="A31" s="869" t="s">
        <v>2001</v>
      </c>
      <c r="B31" s="871">
        <f>'[1]PLAN DE DESARROLLO 2024 - 2027'!$K$198</f>
        <v>6.9685846560846545E-2</v>
      </c>
      <c r="C31" s="869" t="s">
        <v>2002</v>
      </c>
      <c r="D31" s="871">
        <f>'[1]PLAN DE DESARROLLO 2024 - 2027'!$K$199</f>
        <v>6.974206349206348E-2</v>
      </c>
      <c r="E31" s="869" t="s">
        <v>2011</v>
      </c>
      <c r="F31" s="872">
        <f>'[1]PLAN DE DESARROLLO 2024 - 2027'!$K$202</f>
        <v>5.7142857142857141E-2</v>
      </c>
      <c r="G31" s="869" t="s">
        <v>1104</v>
      </c>
      <c r="H31" s="869" t="s">
        <v>1105</v>
      </c>
      <c r="I31" s="902">
        <f>+'Capitulo Etnico'!Z26</f>
        <v>1</v>
      </c>
      <c r="J31" s="869" t="s">
        <v>907</v>
      </c>
      <c r="K31" s="873" t="s">
        <v>2004</v>
      </c>
      <c r="P31"/>
    </row>
    <row r="32" spans="1:16" ht="43.8" thickBot="1" x14ac:dyDescent="0.35">
      <c r="A32" s="869" t="s">
        <v>2001</v>
      </c>
      <c r="B32" s="871">
        <f>'[1]PLAN DE DESARROLLO 2024 - 2027'!$K$198</f>
        <v>6.9685846560846545E-2</v>
      </c>
      <c r="C32" s="869" t="s">
        <v>2002</v>
      </c>
      <c r="D32" s="871">
        <f>'[1]PLAN DE DESARROLLO 2024 - 2027'!$K$199</f>
        <v>6.974206349206348E-2</v>
      </c>
      <c r="E32" s="869" t="s">
        <v>2011</v>
      </c>
      <c r="F32" s="872">
        <f>'[1]PLAN DE DESARROLLO 2024 - 2027'!$K$202</f>
        <v>5.7142857142857141E-2</v>
      </c>
      <c r="G32" s="869" t="s">
        <v>1106</v>
      </c>
      <c r="H32" s="869" t="s">
        <v>1107</v>
      </c>
      <c r="I32" s="902">
        <f>+'Capitulo Etnico'!Z27</f>
        <v>1</v>
      </c>
      <c r="J32" s="869" t="s">
        <v>2012</v>
      </c>
      <c r="K32" s="873" t="s">
        <v>2004</v>
      </c>
      <c r="P32"/>
    </row>
    <row r="33" spans="1:16" ht="58.2" thickBot="1" x14ac:dyDescent="0.35">
      <c r="A33" s="869" t="s">
        <v>2001</v>
      </c>
      <c r="B33" s="871">
        <f>'[1]PLAN DE DESARROLLO 2024 - 2027'!$K$198</f>
        <v>6.9685846560846545E-2</v>
      </c>
      <c r="C33" s="869" t="s">
        <v>2002</v>
      </c>
      <c r="D33" s="871">
        <f>'[1]PLAN DE DESARROLLO 2024 - 2027'!$K$199</f>
        <v>6.974206349206348E-2</v>
      </c>
      <c r="E33" s="869" t="s">
        <v>2011</v>
      </c>
      <c r="F33" s="872">
        <f>'[1]PLAN DE DESARROLLO 2024 - 2027'!$K$202</f>
        <v>5.7142857142857141E-2</v>
      </c>
      <c r="G33" s="869" t="s">
        <v>1109</v>
      </c>
      <c r="H33" s="869" t="s">
        <v>1110</v>
      </c>
      <c r="I33" s="902">
        <f>+'Capitulo Etnico'!Z28</f>
        <v>0</v>
      </c>
      <c r="J33" s="869" t="s">
        <v>2013</v>
      </c>
      <c r="K33" s="873" t="s">
        <v>2004</v>
      </c>
      <c r="P33"/>
    </row>
    <row r="34" spans="1:16" ht="43.8" thickBot="1" x14ac:dyDescent="0.35">
      <c r="A34" s="869" t="s">
        <v>2001</v>
      </c>
      <c r="B34" s="871">
        <f>'[1]PLAN DE DESARROLLO 2024 - 2027'!$K$198</f>
        <v>6.9685846560846545E-2</v>
      </c>
      <c r="C34" s="869" t="s">
        <v>2002</v>
      </c>
      <c r="D34" s="871">
        <f>'[1]PLAN DE DESARROLLO 2024 - 2027'!$K$199</f>
        <v>6.974206349206348E-2</v>
      </c>
      <c r="E34" s="869" t="s">
        <v>2011</v>
      </c>
      <c r="F34" s="872">
        <f>'[1]PLAN DE DESARROLLO 2024 - 2027'!$K$202</f>
        <v>5.7142857142857141E-2</v>
      </c>
      <c r="G34" s="869" t="s">
        <v>1112</v>
      </c>
      <c r="H34" s="869" t="s">
        <v>1113</v>
      </c>
      <c r="I34" s="902">
        <f>+'Capitulo Etnico'!Z29</f>
        <v>0.25</v>
      </c>
      <c r="J34" s="869" t="s">
        <v>560</v>
      </c>
      <c r="K34" s="873" t="s">
        <v>2004</v>
      </c>
      <c r="P34"/>
    </row>
    <row r="35" spans="1:16" ht="43.8" thickBot="1" x14ac:dyDescent="0.35">
      <c r="A35" s="869" t="s">
        <v>2001</v>
      </c>
      <c r="B35" s="871">
        <f>'[1]PLAN DE DESARROLLO 2024 - 2027'!$K$198</f>
        <v>6.9685846560846545E-2</v>
      </c>
      <c r="C35" s="869" t="s">
        <v>2005</v>
      </c>
      <c r="D35" s="871">
        <f>'[1]PLAN DE DESARROLLO 2024 - 2027'!$K$203</f>
        <v>6.9629629629629611E-2</v>
      </c>
      <c r="E35" s="869" t="s">
        <v>1839</v>
      </c>
      <c r="F35" s="872">
        <f>'[1]PLAN DE DESARROLLO 2024 - 2027'!$K$204</f>
        <v>0.13888888888888887</v>
      </c>
      <c r="G35" s="869" t="s">
        <v>1114</v>
      </c>
      <c r="H35" s="869" t="s">
        <v>1115</v>
      </c>
      <c r="I35" s="902">
        <f>+'Capitulo Etnico'!Z32</f>
        <v>0</v>
      </c>
      <c r="J35" s="869" t="s">
        <v>12</v>
      </c>
      <c r="K35" s="873" t="s">
        <v>2004</v>
      </c>
      <c r="P35"/>
    </row>
    <row r="36" spans="1:16" ht="29.4" thickBot="1" x14ac:dyDescent="0.35">
      <c r="A36" s="869" t="s">
        <v>2001</v>
      </c>
      <c r="B36" s="871">
        <f>'[1]PLAN DE DESARROLLO 2024 - 2027'!$K$198</f>
        <v>6.9685846560846545E-2</v>
      </c>
      <c r="C36" s="869" t="s">
        <v>2005</v>
      </c>
      <c r="D36" s="871">
        <f>'[1]PLAN DE DESARROLLO 2024 - 2027'!$K$203</f>
        <v>6.9629629629629611E-2</v>
      </c>
      <c r="E36" s="869" t="s">
        <v>1839</v>
      </c>
      <c r="F36" s="872">
        <f>'[1]PLAN DE DESARROLLO 2024 - 2027'!$K$204</f>
        <v>0.13888888888888887</v>
      </c>
      <c r="G36" s="869" t="s">
        <v>1116</v>
      </c>
      <c r="H36" s="869" t="s">
        <v>1117</v>
      </c>
      <c r="I36" s="901">
        <f>+'Capitulo Etnico'!Z33</f>
        <v>0</v>
      </c>
      <c r="J36" s="869" t="s">
        <v>12</v>
      </c>
      <c r="K36" s="873" t="s">
        <v>2004</v>
      </c>
      <c r="P36"/>
    </row>
    <row r="37" spans="1:16" ht="43.8" thickBot="1" x14ac:dyDescent="0.35">
      <c r="A37" s="869" t="s">
        <v>2001</v>
      </c>
      <c r="B37" s="871">
        <f>'[1]PLAN DE DESARROLLO 2024 - 2027'!$K$198</f>
        <v>6.9685846560846545E-2</v>
      </c>
      <c r="C37" s="869" t="s">
        <v>2005</v>
      </c>
      <c r="D37" s="871">
        <f>'[1]PLAN DE DESARROLLO 2024 - 2027'!$K$203</f>
        <v>6.9629629629629611E-2</v>
      </c>
      <c r="E37" s="869" t="s">
        <v>1839</v>
      </c>
      <c r="F37" s="872">
        <f>'[1]PLAN DE DESARROLLO 2024 - 2027'!$K$204</f>
        <v>0.13888888888888887</v>
      </c>
      <c r="G37" s="869" t="s">
        <v>2014</v>
      </c>
      <c r="H37" s="869" t="s">
        <v>1119</v>
      </c>
      <c r="I37" s="902">
        <f>+'Capitulo Etnico'!Z34</f>
        <v>0.19111111111111112</v>
      </c>
      <c r="J37" s="869" t="s">
        <v>551</v>
      </c>
      <c r="K37" s="873" t="s">
        <v>2004</v>
      </c>
      <c r="P37"/>
    </row>
    <row r="38" spans="1:16" ht="29.4" thickBot="1" x14ac:dyDescent="0.35">
      <c r="A38" s="869" t="s">
        <v>2001</v>
      </c>
      <c r="B38" s="871">
        <f>'[1]PLAN DE DESARROLLO 2024 - 2027'!$K$198</f>
        <v>6.9685846560846545E-2</v>
      </c>
      <c r="C38" s="869" t="s">
        <v>2005</v>
      </c>
      <c r="D38" s="871">
        <f>'[1]PLAN DE DESARROLLO 2024 - 2027'!$K$203</f>
        <v>6.9629629629629611E-2</v>
      </c>
      <c r="E38" s="869" t="s">
        <v>1839</v>
      </c>
      <c r="F38" s="872">
        <f>'[1]PLAN DE DESARROLLO 2024 - 2027'!$K$204</f>
        <v>0.13888888888888887</v>
      </c>
      <c r="G38" s="869" t="s">
        <v>1120</v>
      </c>
      <c r="H38" s="869" t="s">
        <v>1121</v>
      </c>
      <c r="I38" s="901">
        <f>+'Capitulo Etnico'!Z35</f>
        <v>0.5</v>
      </c>
      <c r="J38" s="869" t="s">
        <v>12</v>
      </c>
      <c r="K38" s="873" t="s">
        <v>2004</v>
      </c>
      <c r="P38"/>
    </row>
    <row r="39" spans="1:16" ht="43.8" thickBot="1" x14ac:dyDescent="0.35">
      <c r="A39" s="869" t="s">
        <v>2001</v>
      </c>
      <c r="B39" s="871">
        <f>'[1]PLAN DE DESARROLLO 2024 - 2027'!$K$198</f>
        <v>6.9685846560846545E-2</v>
      </c>
      <c r="C39" s="869" t="s">
        <v>2005</v>
      </c>
      <c r="D39" s="871">
        <f>'[1]PLAN DE DESARROLLO 2024 - 2027'!$K$203</f>
        <v>6.9629629629629611E-2</v>
      </c>
      <c r="E39" s="869" t="s">
        <v>1839</v>
      </c>
      <c r="F39" s="872">
        <f>'[1]PLAN DE DESARROLLO 2024 - 2027'!$K$204</f>
        <v>0.13888888888888887</v>
      </c>
      <c r="G39" s="869" t="s">
        <v>1122</v>
      </c>
      <c r="H39" s="869" t="s">
        <v>1123</v>
      </c>
      <c r="I39" s="901">
        <f>+'Capitulo Etnico'!Z36</f>
        <v>0.4</v>
      </c>
      <c r="J39" s="869" t="s">
        <v>12</v>
      </c>
      <c r="K39" s="873" t="s">
        <v>2004</v>
      </c>
      <c r="P39"/>
    </row>
    <row r="40" spans="1:16" ht="43.8" thickBot="1" x14ac:dyDescent="0.35">
      <c r="A40" s="869" t="s">
        <v>2001</v>
      </c>
      <c r="B40" s="871">
        <f>'[1]PLAN DE DESARROLLO 2024 - 2027'!$K$198</f>
        <v>6.9685846560846545E-2</v>
      </c>
      <c r="C40" s="869" t="s">
        <v>2005</v>
      </c>
      <c r="D40" s="871">
        <f>'[1]PLAN DE DESARROLLO 2024 - 2027'!$K$203</f>
        <v>6.9629629629629611E-2</v>
      </c>
      <c r="E40" s="869" t="s">
        <v>1839</v>
      </c>
      <c r="F40" s="872">
        <f>'[1]PLAN DE DESARROLLO 2024 - 2027'!$K$204</f>
        <v>0.13888888888888887</v>
      </c>
      <c r="G40" s="869" t="s">
        <v>1124</v>
      </c>
      <c r="H40" s="869" t="s">
        <v>1125</v>
      </c>
      <c r="I40" s="901">
        <f>+'Capitulo Etnico'!Z37</f>
        <v>0.33333333333333331</v>
      </c>
      <c r="J40" s="869" t="s">
        <v>12</v>
      </c>
      <c r="K40" s="873" t="s">
        <v>2004</v>
      </c>
      <c r="P40"/>
    </row>
    <row r="41" spans="1:16" ht="43.8" thickBot="1" x14ac:dyDescent="0.35">
      <c r="A41" s="869" t="s">
        <v>2001</v>
      </c>
      <c r="B41" s="871">
        <f>'[1]PLAN DE DESARROLLO 2024 - 2027'!$K$198</f>
        <v>6.9685846560846545E-2</v>
      </c>
      <c r="C41" s="869" t="s">
        <v>2005</v>
      </c>
      <c r="D41" s="871">
        <f>'[1]PLAN DE DESARROLLO 2024 - 2027'!$K$203</f>
        <v>6.9629629629629611E-2</v>
      </c>
      <c r="E41" s="869" t="s">
        <v>1839</v>
      </c>
      <c r="F41" s="872">
        <f>'[1]PLAN DE DESARROLLO 2024 - 2027'!$K$204</f>
        <v>0.13888888888888887</v>
      </c>
      <c r="G41" s="869" t="s">
        <v>1126</v>
      </c>
      <c r="H41" s="869" t="s">
        <v>1127</v>
      </c>
      <c r="I41" s="902">
        <f>+'Capitulo Etnico'!Z38</f>
        <v>0</v>
      </c>
      <c r="J41" s="869" t="s">
        <v>12</v>
      </c>
      <c r="K41" s="873" t="s">
        <v>2004</v>
      </c>
      <c r="P41"/>
    </row>
    <row r="42" spans="1:16" ht="65.400000000000006" customHeight="1" thickBot="1" x14ac:dyDescent="0.35">
      <c r="A42" s="869" t="s">
        <v>2001</v>
      </c>
      <c r="B42" s="871">
        <f>'[1]PLAN DE DESARROLLO 2024 - 2027'!$K$198</f>
        <v>6.9685846560846545E-2</v>
      </c>
      <c r="C42" s="869" t="s">
        <v>2005</v>
      </c>
      <c r="D42" s="871">
        <f>'[1]PLAN DE DESARROLLO 2024 - 2027'!$K$203</f>
        <v>6.9629629629629611E-2</v>
      </c>
      <c r="E42" s="869" t="s">
        <v>1839</v>
      </c>
      <c r="F42" s="872">
        <f>'[1]PLAN DE DESARROLLO 2024 - 2027'!$K$204</f>
        <v>0.13888888888888887</v>
      </c>
      <c r="G42" s="869" t="s">
        <v>1128</v>
      </c>
      <c r="H42" s="869" t="s">
        <v>1129</v>
      </c>
      <c r="I42" s="901">
        <f>+'Capitulo Etnico'!Z39</f>
        <v>0.39166666666666666</v>
      </c>
      <c r="J42" s="869" t="s">
        <v>12</v>
      </c>
      <c r="K42" s="873" t="s">
        <v>2004</v>
      </c>
      <c r="P42"/>
    </row>
    <row r="43" spans="1:16" ht="22.8" customHeight="1" thickBot="1" x14ac:dyDescent="0.35">
      <c r="A43" s="892" t="s">
        <v>2015</v>
      </c>
      <c r="B43" s="893" t="s">
        <v>2016</v>
      </c>
      <c r="C43" s="892" t="s">
        <v>2017</v>
      </c>
      <c r="D43" s="894" t="s">
        <v>2018</v>
      </c>
      <c r="E43" s="892" t="s">
        <v>2019</v>
      </c>
      <c r="F43" s="893" t="s">
        <v>2020</v>
      </c>
      <c r="G43" s="892" t="s">
        <v>2021</v>
      </c>
      <c r="H43" s="892" t="s">
        <v>2022</v>
      </c>
      <c r="I43" s="903"/>
      <c r="J43" s="892" t="s">
        <v>2023</v>
      </c>
      <c r="K43" s="894" t="s">
        <v>2024</v>
      </c>
    </row>
    <row r="44" spans="1:16" ht="43.8" thickBot="1" x14ac:dyDescent="0.35">
      <c r="A44" s="869" t="s">
        <v>2025</v>
      </c>
      <c r="B44" s="871">
        <f>'[1]PLAN DE DESARROLLO 2024 - 2027'!$K$123</f>
        <v>0.26239975735212717</v>
      </c>
      <c r="C44" s="869" t="s">
        <v>2026</v>
      </c>
      <c r="D44" s="871">
        <f>'[1]PLAN DE DESARROLLO 2024 - 2027'!$K$143</f>
        <v>0.16314336734693877</v>
      </c>
      <c r="E44" s="869" t="s">
        <v>2027</v>
      </c>
      <c r="F44" s="872">
        <f>'[1]PLAN DE DESARROLLO 2024 - 2027'!$K$145</f>
        <v>0.02</v>
      </c>
      <c r="G44" s="869" t="s">
        <v>878</v>
      </c>
      <c r="H44" s="869" t="s">
        <v>1326</v>
      </c>
      <c r="I44" s="901">
        <f>+'Ciudad Conectada'!Z92</f>
        <v>0.32500000000000001</v>
      </c>
      <c r="J44" s="869" t="s">
        <v>2028</v>
      </c>
      <c r="K44" s="873" t="s">
        <v>2004</v>
      </c>
      <c r="P44"/>
    </row>
    <row r="45" spans="1:16" ht="58.2" thickBot="1" x14ac:dyDescent="0.35">
      <c r="A45" s="869" t="s">
        <v>2025</v>
      </c>
      <c r="B45" s="871">
        <f>'[1]PLAN DE DESARROLLO 2024 - 2027'!$K$123</f>
        <v>0.26239975735212717</v>
      </c>
      <c r="C45" s="869" t="s">
        <v>2026</v>
      </c>
      <c r="D45" s="871">
        <f>'[1]PLAN DE DESARROLLO 2024 - 2027'!$K$143</f>
        <v>0.16314336734693877</v>
      </c>
      <c r="E45" s="869" t="s">
        <v>2027</v>
      </c>
      <c r="F45" s="872">
        <f>'[1]PLAN DE DESARROLLO 2024 - 2027'!$K$145</f>
        <v>0.02</v>
      </c>
      <c r="G45" s="869" t="s">
        <v>880</v>
      </c>
      <c r="H45" s="869" t="s">
        <v>1327</v>
      </c>
      <c r="I45" s="902">
        <f>+'Ciudad Conectada'!Z93</f>
        <v>0</v>
      </c>
      <c r="J45" s="869" t="s">
        <v>2029</v>
      </c>
      <c r="K45" s="873" t="s">
        <v>2004</v>
      </c>
      <c r="P45"/>
    </row>
    <row r="46" spans="1:16" ht="43.8" thickBot="1" x14ac:dyDescent="0.35">
      <c r="A46" s="869" t="s">
        <v>2025</v>
      </c>
      <c r="B46" s="871">
        <f>'[1]PLAN DE DESARROLLO 2024 - 2027'!$K$123</f>
        <v>0.26239975735212717</v>
      </c>
      <c r="C46" s="869" t="s">
        <v>2026</v>
      </c>
      <c r="D46" s="871">
        <f>'[1]PLAN DE DESARROLLO 2024 - 2027'!$K$143</f>
        <v>0.16314336734693877</v>
      </c>
      <c r="E46" s="869" t="s">
        <v>2027</v>
      </c>
      <c r="F46" s="872">
        <f>'[1]PLAN DE DESARROLLO 2024 - 2027'!$K$145</f>
        <v>0.02</v>
      </c>
      <c r="G46" s="869" t="s">
        <v>881</v>
      </c>
      <c r="H46" s="869" t="s">
        <v>1328</v>
      </c>
      <c r="I46" s="901">
        <f>+'Ciudad Conectada'!Z94</f>
        <v>0.11499999999999999</v>
      </c>
      <c r="J46" s="869" t="s">
        <v>2030</v>
      </c>
      <c r="K46" s="873" t="s">
        <v>2004</v>
      </c>
      <c r="P46"/>
    </row>
    <row r="47" spans="1:16" ht="29.4" thickBot="1" x14ac:dyDescent="0.35">
      <c r="A47" s="869" t="s">
        <v>2025</v>
      </c>
      <c r="B47" s="871">
        <f>'[1]PLAN DE DESARROLLO 2024 - 2027'!$K$123</f>
        <v>0.26239975735212717</v>
      </c>
      <c r="C47" s="869" t="s">
        <v>2031</v>
      </c>
      <c r="D47" s="872">
        <f>'[1]PLAN DE DESARROLLO 2024 - 2027'!$K$147</f>
        <v>0.37391919805103979</v>
      </c>
      <c r="E47" s="869" t="s">
        <v>2032</v>
      </c>
      <c r="F47" s="872">
        <f>'[1]PLAN DE DESARROLLO 2024 - 2027'!$K$148</f>
        <v>0</v>
      </c>
      <c r="G47" s="869" t="s">
        <v>886</v>
      </c>
      <c r="H47" s="869" t="s">
        <v>1330</v>
      </c>
      <c r="I47" s="901">
        <f>+'Ciudad Conectada'!Z99</f>
        <v>0.1</v>
      </c>
      <c r="J47" s="869" t="s">
        <v>825</v>
      </c>
      <c r="K47" s="873" t="s">
        <v>2004</v>
      </c>
      <c r="P47"/>
    </row>
    <row r="48" spans="1:16" ht="29.4" thickBot="1" x14ac:dyDescent="0.35">
      <c r="A48" s="869" t="s">
        <v>2025</v>
      </c>
      <c r="B48" s="871">
        <f>'[1]PLAN DE DESARROLLO 2024 - 2027'!$K$123</f>
        <v>0.26239975735212717</v>
      </c>
      <c r="C48" s="869" t="s">
        <v>2031</v>
      </c>
      <c r="D48" s="872">
        <f>'[1]PLAN DE DESARROLLO 2024 - 2027'!$K$147</f>
        <v>0.37391919805103979</v>
      </c>
      <c r="E48" s="869" t="s">
        <v>1814</v>
      </c>
      <c r="F48" s="872">
        <f>'[1]PLAN DE DESARROLLO 2024 - 2027'!$K$150</f>
        <v>0</v>
      </c>
      <c r="G48" s="869" t="s">
        <v>892</v>
      </c>
      <c r="H48" s="869" t="s">
        <v>1335</v>
      </c>
      <c r="I48" s="901">
        <f>+'Ciudad Conectada'!Z106</f>
        <v>0</v>
      </c>
      <c r="J48" s="869" t="s">
        <v>863</v>
      </c>
      <c r="K48" s="873" t="s">
        <v>2004</v>
      </c>
      <c r="P48"/>
    </row>
    <row r="49" spans="1:16" ht="29.4" thickBot="1" x14ac:dyDescent="0.35">
      <c r="A49" s="869" t="s">
        <v>2025</v>
      </c>
      <c r="B49" s="871">
        <f>'[1]PLAN DE DESARROLLO 2024 - 2027'!$K$123</f>
        <v>0.26239975735212717</v>
      </c>
      <c r="C49" s="869" t="s">
        <v>2031</v>
      </c>
      <c r="D49" s="872">
        <f>'[1]PLAN DE DESARROLLO 2024 - 2027'!$K$147</f>
        <v>0.37391919805103979</v>
      </c>
      <c r="E49" s="869" t="s">
        <v>1814</v>
      </c>
      <c r="F49" s="872">
        <f>'[1]PLAN DE DESARROLLO 2024 - 2027'!$K$150</f>
        <v>0</v>
      </c>
      <c r="G49" s="869" t="s">
        <v>893</v>
      </c>
      <c r="H49" s="869" t="s">
        <v>1336</v>
      </c>
      <c r="I49" s="901">
        <f>+'Ciudad Conectada'!Z107</f>
        <v>0.58499999999999996</v>
      </c>
      <c r="J49" s="869" t="s">
        <v>863</v>
      </c>
      <c r="K49" s="873" t="s">
        <v>2004</v>
      </c>
      <c r="P49"/>
    </row>
    <row r="50" spans="1:16" ht="29.4" thickBot="1" x14ac:dyDescent="0.35">
      <c r="A50" s="869" t="s">
        <v>2025</v>
      </c>
      <c r="B50" s="871">
        <f>'[1]PLAN DE DESARROLLO 2024 - 2027'!$K$123</f>
        <v>0.26239975735212717</v>
      </c>
      <c r="C50" s="869" t="s">
        <v>2031</v>
      </c>
      <c r="D50" s="872">
        <f>'[1]PLAN DE DESARROLLO 2024 - 2027'!$K$147</f>
        <v>0.37391919805103979</v>
      </c>
      <c r="E50" s="869" t="s">
        <v>1814</v>
      </c>
      <c r="F50" s="872">
        <f>'[1]PLAN DE DESARROLLO 2024 - 2027'!$K$150</f>
        <v>0</v>
      </c>
      <c r="G50" s="869" t="s">
        <v>894</v>
      </c>
      <c r="H50" s="869" t="s">
        <v>1337</v>
      </c>
      <c r="I50" s="901">
        <f>+'Ciudad Conectada'!Z108</f>
        <v>0</v>
      </c>
      <c r="J50" s="869" t="s">
        <v>863</v>
      </c>
      <c r="K50" s="873" t="s">
        <v>2004</v>
      </c>
      <c r="P50"/>
    </row>
    <row r="51" spans="1:16" ht="29.4" thickBot="1" x14ac:dyDescent="0.35">
      <c r="A51" s="869" t="s">
        <v>2025</v>
      </c>
      <c r="B51" s="871">
        <f>'[1]PLAN DE DESARROLLO 2024 - 2027'!$K$123</f>
        <v>0.26239975735212717</v>
      </c>
      <c r="C51" s="869" t="s">
        <v>2033</v>
      </c>
      <c r="D51" s="871">
        <f>'[1]PLAN DE DESARROLLO 2024 - 2027'!$K$153</f>
        <v>0.34122708333333335</v>
      </c>
      <c r="E51" s="869" t="s">
        <v>2034</v>
      </c>
      <c r="F51" s="872">
        <f>'[1]PLAN DE DESARROLLO 2024 - 2027'!$K$158</f>
        <v>0</v>
      </c>
      <c r="G51" s="869" t="s">
        <v>944</v>
      </c>
      <c r="H51" s="869" t="s">
        <v>1380</v>
      </c>
      <c r="I51" s="902">
        <f>+'Ciudad Conectada'!Z160</f>
        <v>0</v>
      </c>
      <c r="J51" s="869" t="s">
        <v>560</v>
      </c>
      <c r="K51" s="873" t="s">
        <v>2004</v>
      </c>
      <c r="P51"/>
    </row>
    <row r="52" spans="1:16" ht="29.4" thickBot="1" x14ac:dyDescent="0.35">
      <c r="A52" s="869" t="s">
        <v>2025</v>
      </c>
      <c r="B52" s="871">
        <f>'[1]PLAN DE DESARROLLO 2024 - 2027'!$K$123</f>
        <v>0.26239975735212717</v>
      </c>
      <c r="C52" s="869" t="s">
        <v>2033</v>
      </c>
      <c r="D52" s="871">
        <f>'[1]PLAN DE DESARROLLO 2024 - 2027'!$K$153</f>
        <v>0.34122708333333335</v>
      </c>
      <c r="E52" s="869" t="s">
        <v>2034</v>
      </c>
      <c r="F52" s="872">
        <f>'[1]PLAN DE DESARROLLO 2024 - 2027'!$K$158</f>
        <v>0</v>
      </c>
      <c r="G52" s="869" t="s">
        <v>945</v>
      </c>
      <c r="H52" s="869" t="s">
        <v>1381</v>
      </c>
      <c r="I52" s="902">
        <f>+'Ciudad Conectada'!Z161</f>
        <v>0</v>
      </c>
      <c r="J52" s="869" t="s">
        <v>560</v>
      </c>
      <c r="K52" s="873" t="s">
        <v>2004</v>
      </c>
      <c r="P52"/>
    </row>
    <row r="53" spans="1:16" ht="15" thickBot="1" x14ac:dyDescent="0.35">
      <c r="A53" s="869" t="s">
        <v>2025</v>
      </c>
      <c r="B53" s="871">
        <f>'[1]PLAN DE DESARROLLO 2024 - 2027'!$K$123</f>
        <v>0.26239975735212717</v>
      </c>
      <c r="C53" s="869" t="s">
        <v>2033</v>
      </c>
      <c r="D53" s="871">
        <f>'[1]PLAN DE DESARROLLO 2024 - 2027'!$K$153</f>
        <v>0.34122708333333335</v>
      </c>
      <c r="E53" s="869" t="s">
        <v>2034</v>
      </c>
      <c r="F53" s="872">
        <f>'[1]PLAN DE DESARROLLO 2024 - 2027'!$K$158</f>
        <v>0</v>
      </c>
      <c r="G53" s="869" t="s">
        <v>946</v>
      </c>
      <c r="H53" s="869" t="s">
        <v>1382</v>
      </c>
      <c r="I53" s="902">
        <f>+'Ciudad Conectada'!Z162</f>
        <v>0</v>
      </c>
      <c r="J53" s="869" t="s">
        <v>560</v>
      </c>
      <c r="K53" s="873" t="s">
        <v>2004</v>
      </c>
      <c r="P53"/>
    </row>
    <row r="54" spans="1:16" ht="43.8" thickBot="1" x14ac:dyDescent="0.35">
      <c r="A54" s="869" t="s">
        <v>2025</v>
      </c>
      <c r="B54" s="871">
        <f>'[1]PLAN DE DESARROLLO 2024 - 2027'!$K$123</f>
        <v>0.26239975735212717</v>
      </c>
      <c r="C54" s="869" t="s">
        <v>2033</v>
      </c>
      <c r="D54" s="871">
        <f>'[1]PLAN DE DESARROLLO 2024 - 2027'!$K$153</f>
        <v>0.34122708333333335</v>
      </c>
      <c r="E54" s="869" t="s">
        <v>2034</v>
      </c>
      <c r="F54" s="872">
        <f>'[1]PLAN DE DESARROLLO 2024 - 2027'!$K$158</f>
        <v>0</v>
      </c>
      <c r="G54" s="869" t="s">
        <v>947</v>
      </c>
      <c r="H54" s="869" t="s">
        <v>1383</v>
      </c>
      <c r="I54" s="902">
        <f>+'Ciudad Conectada'!Z163</f>
        <v>0</v>
      </c>
      <c r="J54" s="869" t="s">
        <v>560</v>
      </c>
      <c r="K54" s="873" t="s">
        <v>2004</v>
      </c>
      <c r="P54"/>
    </row>
    <row r="55" spans="1:16" ht="29.4" thickBot="1" x14ac:dyDescent="0.35">
      <c r="A55" s="869" t="s">
        <v>2025</v>
      </c>
      <c r="B55" s="871">
        <f>'[1]PLAN DE DESARROLLO 2024 - 2027'!$K$123</f>
        <v>0.26239975735212717</v>
      </c>
      <c r="C55" s="869" t="s">
        <v>2033</v>
      </c>
      <c r="D55" s="871">
        <f>'[1]PLAN DE DESARROLLO 2024 - 2027'!$K$153</f>
        <v>0.34122708333333335</v>
      </c>
      <c r="E55" s="869" t="s">
        <v>2034</v>
      </c>
      <c r="F55" s="872">
        <f>'[1]PLAN DE DESARROLLO 2024 - 2027'!$K$158</f>
        <v>0</v>
      </c>
      <c r="G55" s="869" t="s">
        <v>948</v>
      </c>
      <c r="H55" s="869" t="s">
        <v>1384</v>
      </c>
      <c r="I55" s="902">
        <f>+'Ciudad Conectada'!Z164</f>
        <v>0</v>
      </c>
      <c r="J55" s="869" t="s">
        <v>2035</v>
      </c>
      <c r="K55" s="873" t="s">
        <v>2004</v>
      </c>
      <c r="P55"/>
    </row>
    <row r="56" spans="1:16" ht="43.8" thickBot="1" x14ac:dyDescent="0.35">
      <c r="A56" s="869" t="s">
        <v>2025</v>
      </c>
      <c r="B56" s="871">
        <f>'[1]PLAN DE DESARROLLO 2024 - 2027'!$K$123</f>
        <v>0.26239975735212717</v>
      </c>
      <c r="C56" s="869" t="s">
        <v>2033</v>
      </c>
      <c r="D56" s="871">
        <f>'[1]PLAN DE DESARROLLO 2024 - 2027'!$K$153</f>
        <v>0.34122708333333335</v>
      </c>
      <c r="E56" s="869" t="s">
        <v>2034</v>
      </c>
      <c r="F56" s="872">
        <f>'[1]PLAN DE DESARROLLO 2024 - 2027'!$K$158</f>
        <v>0</v>
      </c>
      <c r="G56" s="869" t="s">
        <v>949</v>
      </c>
      <c r="H56" s="869" t="s">
        <v>1385</v>
      </c>
      <c r="I56" s="902">
        <f>+'Ciudad Conectada'!Z165</f>
        <v>0</v>
      </c>
      <c r="J56" s="869" t="s">
        <v>560</v>
      </c>
      <c r="K56" s="873" t="s">
        <v>2004</v>
      </c>
      <c r="P56"/>
    </row>
    <row r="57" spans="1:16" ht="58.2" thickBot="1" x14ac:dyDescent="0.35">
      <c r="A57" s="869" t="s">
        <v>2025</v>
      </c>
      <c r="B57" s="871">
        <f>'[1]PLAN DE DESARROLLO 2024 - 2027'!$K$123</f>
        <v>0.26239975735212717</v>
      </c>
      <c r="C57" s="869" t="s">
        <v>2033</v>
      </c>
      <c r="D57" s="871">
        <f>'[1]PLAN DE DESARROLLO 2024 - 2027'!$K$153</f>
        <v>0.34122708333333335</v>
      </c>
      <c r="E57" s="869" t="s">
        <v>2034</v>
      </c>
      <c r="F57" s="872">
        <f>'[1]PLAN DE DESARROLLO 2024 - 2027'!$K$158</f>
        <v>0</v>
      </c>
      <c r="G57" s="869" t="s">
        <v>950</v>
      </c>
      <c r="H57" s="869" t="s">
        <v>1386</v>
      </c>
      <c r="I57" s="902">
        <f>+'Ciudad Conectada'!Z166</f>
        <v>0</v>
      </c>
      <c r="J57" s="869" t="s">
        <v>560</v>
      </c>
      <c r="K57" s="873" t="s">
        <v>2004</v>
      </c>
      <c r="P57"/>
    </row>
    <row r="58" spans="1:16" ht="29.4" thickBot="1" x14ac:dyDescent="0.35">
      <c r="A58" s="869" t="s">
        <v>2025</v>
      </c>
      <c r="B58" s="871">
        <f>'[1]PLAN DE DESARROLLO 2024 - 2027'!$K$123</f>
        <v>0.26239975735212717</v>
      </c>
      <c r="C58" s="869" t="s">
        <v>2031</v>
      </c>
      <c r="D58" s="872">
        <f>'[1]PLAN DE DESARROLLO 2024 - 2027'!$K$147</f>
        <v>0.37391919805103979</v>
      </c>
      <c r="E58" s="869" t="s">
        <v>2036</v>
      </c>
      <c r="F58" s="872">
        <f>'[1]PLAN DE DESARROLLO 2024 - 2027'!$K$149</f>
        <v>0.54581547619047621</v>
      </c>
      <c r="G58" s="869" t="s">
        <v>888</v>
      </c>
      <c r="H58" s="869" t="s">
        <v>1331</v>
      </c>
      <c r="I58" s="901">
        <f>+'Ciudad Conectada'!Z101</f>
        <v>1</v>
      </c>
      <c r="J58" s="869" t="s">
        <v>825</v>
      </c>
      <c r="K58" s="873" t="s">
        <v>2004</v>
      </c>
      <c r="P58"/>
    </row>
    <row r="59" spans="1:16" ht="29.4" thickBot="1" x14ac:dyDescent="0.35">
      <c r="A59" s="869" t="s">
        <v>2025</v>
      </c>
      <c r="B59" s="871">
        <f>'[1]PLAN DE DESARROLLO 2024 - 2027'!$K$123</f>
        <v>0.26239975735212717</v>
      </c>
      <c r="C59" s="869" t="s">
        <v>2031</v>
      </c>
      <c r="D59" s="872">
        <f>'[1]PLAN DE DESARROLLO 2024 - 2027'!$K$147</f>
        <v>0.37391919805103979</v>
      </c>
      <c r="E59" s="869" t="s">
        <v>2036</v>
      </c>
      <c r="F59" s="872">
        <f>'[1]PLAN DE DESARROLLO 2024 - 2027'!$K$149</f>
        <v>0.54581547619047621</v>
      </c>
      <c r="G59" s="869" t="s">
        <v>889</v>
      </c>
      <c r="H59" s="869" t="s">
        <v>1332</v>
      </c>
      <c r="I59" s="901">
        <f>+'Ciudad Conectada'!Z102</f>
        <v>1</v>
      </c>
      <c r="J59" s="869" t="s">
        <v>825</v>
      </c>
      <c r="K59" s="873" t="s">
        <v>2004</v>
      </c>
      <c r="P59"/>
    </row>
    <row r="60" spans="1:16" ht="29.4" thickBot="1" x14ac:dyDescent="0.35">
      <c r="A60" s="869" t="s">
        <v>2025</v>
      </c>
      <c r="B60" s="871">
        <f>'[1]PLAN DE DESARROLLO 2024 - 2027'!$K$123</f>
        <v>0.26239975735212717</v>
      </c>
      <c r="C60" s="869" t="s">
        <v>2031</v>
      </c>
      <c r="D60" s="872">
        <f>'[1]PLAN DE DESARROLLO 2024 - 2027'!$K$147</f>
        <v>0.37391919805103979</v>
      </c>
      <c r="E60" s="869" t="s">
        <v>2036</v>
      </c>
      <c r="F60" s="872">
        <f>'[1]PLAN DE DESARROLLO 2024 - 2027'!$K$149</f>
        <v>0.54581547619047621</v>
      </c>
      <c r="G60" s="869" t="s">
        <v>890</v>
      </c>
      <c r="H60" s="869" t="s">
        <v>1333</v>
      </c>
      <c r="I60" s="901">
        <f>+'Ciudad Conectada'!Z103</f>
        <v>1</v>
      </c>
      <c r="J60" s="869" t="s">
        <v>825</v>
      </c>
      <c r="K60" s="873" t="s">
        <v>2004</v>
      </c>
      <c r="P60"/>
    </row>
    <row r="61" spans="1:16" ht="29.4" thickBot="1" x14ac:dyDescent="0.35">
      <c r="A61" s="869" t="s">
        <v>2025</v>
      </c>
      <c r="B61" s="871">
        <f>'[1]PLAN DE DESARROLLO 2024 - 2027'!$K$123</f>
        <v>0.26239975735212717</v>
      </c>
      <c r="C61" s="869" t="s">
        <v>2031</v>
      </c>
      <c r="D61" s="872">
        <f>'[1]PLAN DE DESARROLLO 2024 - 2027'!$K$147</f>
        <v>0.37391919805103979</v>
      </c>
      <c r="E61" s="869" t="s">
        <v>2036</v>
      </c>
      <c r="F61" s="872">
        <f>'[1]PLAN DE DESARROLLO 2024 - 2027'!$K$149</f>
        <v>0.54581547619047621</v>
      </c>
      <c r="G61" s="869" t="s">
        <v>891</v>
      </c>
      <c r="H61" s="869" t="s">
        <v>1334</v>
      </c>
      <c r="I61" s="901">
        <f>+'Ciudad Conectada'!Z104</f>
        <v>1</v>
      </c>
      <c r="J61" s="869" t="s">
        <v>825</v>
      </c>
      <c r="K61" s="873" t="s">
        <v>2004</v>
      </c>
      <c r="P61"/>
    </row>
    <row r="62" spans="1:16" ht="29.4" thickBot="1" x14ac:dyDescent="0.35">
      <c r="A62" s="869" t="s">
        <v>2025</v>
      </c>
      <c r="B62" s="871">
        <f>'[1]PLAN DE DESARROLLO 2024 - 2027'!$K$123</f>
        <v>0.26239975735212717</v>
      </c>
      <c r="C62" s="869" t="s">
        <v>2031</v>
      </c>
      <c r="D62" s="872">
        <f>'[1]PLAN DE DESARROLLO 2024 - 2027'!$K$147</f>
        <v>0.37391919805103979</v>
      </c>
      <c r="E62" s="869" t="s">
        <v>2037</v>
      </c>
      <c r="F62" s="872">
        <f>'[1]PLAN DE DESARROLLO 2024 - 2027'!$K$151</f>
        <v>0.33406220779610435</v>
      </c>
      <c r="G62" s="869" t="s">
        <v>895</v>
      </c>
      <c r="H62" s="869" t="s">
        <v>1338</v>
      </c>
      <c r="I62" s="901">
        <f>+'Ciudad Conectada'!Z110</f>
        <v>0.45391000436871998</v>
      </c>
      <c r="J62" s="869" t="s">
        <v>48</v>
      </c>
      <c r="K62" s="873" t="s">
        <v>2004</v>
      </c>
      <c r="P62"/>
    </row>
    <row r="63" spans="1:16" ht="29.4" thickBot="1" x14ac:dyDescent="0.35">
      <c r="A63" s="869" t="s">
        <v>2025</v>
      </c>
      <c r="B63" s="871">
        <f>'[1]PLAN DE DESARROLLO 2024 - 2027'!$K$123</f>
        <v>0.26239975735212717</v>
      </c>
      <c r="C63" s="869" t="s">
        <v>2031</v>
      </c>
      <c r="D63" s="872">
        <f>'[1]PLAN DE DESARROLLO 2024 - 2027'!$K$147</f>
        <v>0.37391919805103979</v>
      </c>
      <c r="E63" s="869" t="s">
        <v>2037</v>
      </c>
      <c r="F63" s="872">
        <f>'[1]PLAN DE DESARROLLO 2024 - 2027'!$K$151</f>
        <v>0.33406220779610435</v>
      </c>
      <c r="G63" s="869" t="s">
        <v>896</v>
      </c>
      <c r="H63" s="869" t="s">
        <v>1536</v>
      </c>
      <c r="I63" s="901">
        <f>+'Ciudad Conectada'!Z111</f>
        <v>0.20259208731241471</v>
      </c>
      <c r="J63" s="869" t="s">
        <v>48</v>
      </c>
      <c r="K63" s="873" t="s">
        <v>2004</v>
      </c>
      <c r="P63"/>
    </row>
    <row r="64" spans="1:16" ht="29.4" thickBot="1" x14ac:dyDescent="0.35">
      <c r="A64" s="869" t="s">
        <v>2025</v>
      </c>
      <c r="B64" s="871">
        <f>'[1]PLAN DE DESARROLLO 2024 - 2027'!$K$123</f>
        <v>0.26239975735212717</v>
      </c>
      <c r="C64" s="869" t="s">
        <v>2031</v>
      </c>
      <c r="D64" s="872">
        <f>'[1]PLAN DE DESARROLLO 2024 - 2027'!$K$147</f>
        <v>0.37391919805103979</v>
      </c>
      <c r="E64" s="869" t="s">
        <v>2037</v>
      </c>
      <c r="F64" s="872">
        <f>'[1]PLAN DE DESARROLLO 2024 - 2027'!$K$151</f>
        <v>0.33406220779610435</v>
      </c>
      <c r="G64" s="869" t="s">
        <v>897</v>
      </c>
      <c r="H64" s="869" t="s">
        <v>1339</v>
      </c>
      <c r="I64" s="901">
        <f>+'Ciudad Conectada'!Z112</f>
        <v>0.16250000000000001</v>
      </c>
      <c r="J64" s="869" t="s">
        <v>2038</v>
      </c>
      <c r="K64" s="873" t="s">
        <v>2004</v>
      </c>
      <c r="P64"/>
    </row>
    <row r="65" spans="1:16" ht="29.4" thickBot="1" x14ac:dyDescent="0.35">
      <c r="A65" s="869" t="s">
        <v>2025</v>
      </c>
      <c r="B65" s="871">
        <f>'[1]PLAN DE DESARROLLO 2024 - 2027'!$K$123</f>
        <v>0.26239975735212717</v>
      </c>
      <c r="C65" s="869" t="s">
        <v>2031</v>
      </c>
      <c r="D65" s="872">
        <f>'[1]PLAN DE DESARROLLO 2024 - 2027'!$K$147</f>
        <v>0.37391919805103979</v>
      </c>
      <c r="E65" s="869" t="s">
        <v>2037</v>
      </c>
      <c r="F65" s="872">
        <f>'[1]PLAN DE DESARROLLO 2024 - 2027'!$K$151</f>
        <v>0.33406220779610435</v>
      </c>
      <c r="G65" s="869" t="s">
        <v>898</v>
      </c>
      <c r="H65" s="869" t="s">
        <v>1340</v>
      </c>
      <c r="I65" s="901">
        <f>+'Ciudad Conectada'!Z113</f>
        <v>0.43</v>
      </c>
      <c r="J65" s="869" t="s">
        <v>48</v>
      </c>
      <c r="K65" s="873" t="s">
        <v>2004</v>
      </c>
      <c r="P65"/>
    </row>
    <row r="66" spans="1:16" ht="29.4" thickBot="1" x14ac:dyDescent="0.35">
      <c r="A66" s="869" t="s">
        <v>2025</v>
      </c>
      <c r="B66" s="871">
        <f>'[1]PLAN DE DESARROLLO 2024 - 2027'!$K$123</f>
        <v>0.26239975735212717</v>
      </c>
      <c r="C66" s="869" t="s">
        <v>2031</v>
      </c>
      <c r="D66" s="872">
        <f>'[1]PLAN DE DESARROLLO 2024 - 2027'!$K$147</f>
        <v>0.37391919805103979</v>
      </c>
      <c r="E66" s="869" t="s">
        <v>2037</v>
      </c>
      <c r="F66" s="872">
        <f>'[1]PLAN DE DESARROLLO 2024 - 2027'!$K$151</f>
        <v>0.33406220779610435</v>
      </c>
      <c r="G66" s="869" t="s">
        <v>899</v>
      </c>
      <c r="H66" s="869" t="s">
        <v>1341</v>
      </c>
      <c r="I66" s="901">
        <f>+'Ciudad Conectada'!Z114</f>
        <v>0.5</v>
      </c>
      <c r="J66" s="869" t="s">
        <v>48</v>
      </c>
      <c r="K66" s="873" t="s">
        <v>2004</v>
      </c>
      <c r="P66"/>
    </row>
    <row r="67" spans="1:16" ht="29.4" thickBot="1" x14ac:dyDescent="0.35">
      <c r="A67" s="869" t="s">
        <v>2025</v>
      </c>
      <c r="B67" s="871">
        <f>'[1]PLAN DE DESARROLLO 2024 - 2027'!$K$123</f>
        <v>0.26239975735212717</v>
      </c>
      <c r="C67" s="869" t="s">
        <v>2031</v>
      </c>
      <c r="D67" s="872">
        <f>'[1]PLAN DE DESARROLLO 2024 - 2027'!$K$147</f>
        <v>0.37391919805103979</v>
      </c>
      <c r="E67" s="869" t="s">
        <v>2037</v>
      </c>
      <c r="F67" s="872">
        <f>'[1]PLAN DE DESARROLLO 2024 - 2027'!$K$151</f>
        <v>0.33406220779610435</v>
      </c>
      <c r="G67" s="869" t="s">
        <v>900</v>
      </c>
      <c r="H67" s="869" t="s">
        <v>1342</v>
      </c>
      <c r="I67" s="901">
        <f>+'Ciudad Conectada'!Z115</f>
        <v>0.8</v>
      </c>
      <c r="J67" s="869" t="s">
        <v>48</v>
      </c>
      <c r="K67" s="873" t="s">
        <v>2004</v>
      </c>
      <c r="P67"/>
    </row>
    <row r="68" spans="1:16" ht="29.4" thickBot="1" x14ac:dyDescent="0.35">
      <c r="A68" s="869" t="s">
        <v>2025</v>
      </c>
      <c r="B68" s="871">
        <f>'[1]PLAN DE DESARROLLO 2024 - 2027'!$K$123</f>
        <v>0.26239975735212717</v>
      </c>
      <c r="C68" s="869" t="s">
        <v>2031</v>
      </c>
      <c r="D68" s="872">
        <f>'[1]PLAN DE DESARROLLO 2024 - 2027'!$K$147</f>
        <v>0.37391919805103979</v>
      </c>
      <c r="E68" s="869" t="s">
        <v>2037</v>
      </c>
      <c r="F68" s="872">
        <f>'[1]PLAN DE DESARROLLO 2024 - 2027'!$K$151</f>
        <v>0.33406220779610435</v>
      </c>
      <c r="G68" s="869" t="s">
        <v>901</v>
      </c>
      <c r="H68" s="869" t="s">
        <v>1343</v>
      </c>
      <c r="I68" s="901">
        <f>+'Ciudad Conectada'!Z116</f>
        <v>0.77777777777777779</v>
      </c>
      <c r="J68" s="869" t="s">
        <v>48</v>
      </c>
      <c r="K68" s="873" t="s">
        <v>2004</v>
      </c>
      <c r="P68"/>
    </row>
    <row r="69" spans="1:16" ht="29.4" thickBot="1" x14ac:dyDescent="0.35">
      <c r="A69" s="869" t="s">
        <v>2025</v>
      </c>
      <c r="B69" s="871">
        <f>'[1]PLAN DE DESARROLLO 2024 - 2027'!$K$123</f>
        <v>0.26239975735212717</v>
      </c>
      <c r="C69" s="869" t="s">
        <v>2031</v>
      </c>
      <c r="D69" s="872">
        <f>'[1]PLAN DE DESARROLLO 2024 - 2027'!$K$147</f>
        <v>0.37391919805103979</v>
      </c>
      <c r="E69" s="869" t="s">
        <v>2037</v>
      </c>
      <c r="F69" s="872">
        <f>'[1]PLAN DE DESARROLLO 2024 - 2027'!$K$151</f>
        <v>0.33406220779610435</v>
      </c>
      <c r="G69" s="869" t="s">
        <v>902</v>
      </c>
      <c r="H69" s="869" t="s">
        <v>1344</v>
      </c>
      <c r="I69" s="901">
        <f>+'Ciudad Conectada'!Z117</f>
        <v>8.7499999999999994E-2</v>
      </c>
      <c r="J69" s="869" t="s">
        <v>2038</v>
      </c>
      <c r="K69" s="873" t="s">
        <v>2004</v>
      </c>
      <c r="P69"/>
    </row>
    <row r="70" spans="1:16" ht="29.4" thickBot="1" x14ac:dyDescent="0.35">
      <c r="A70" s="869" t="s">
        <v>2025</v>
      </c>
      <c r="B70" s="871">
        <f>'[1]PLAN DE DESARROLLO 2024 - 2027'!$K$123</f>
        <v>0.26239975735212717</v>
      </c>
      <c r="C70" s="869" t="s">
        <v>2031</v>
      </c>
      <c r="D70" s="872">
        <f>'[1]PLAN DE DESARROLLO 2024 - 2027'!$K$147</f>
        <v>0.37391919805103979</v>
      </c>
      <c r="E70" s="869" t="s">
        <v>2037</v>
      </c>
      <c r="F70" s="872">
        <f>'[1]PLAN DE DESARROLLO 2024 - 2027'!$K$151</f>
        <v>0.33406220779610435</v>
      </c>
      <c r="G70" s="869" t="s">
        <v>903</v>
      </c>
      <c r="H70" s="869" t="s">
        <v>1345</v>
      </c>
      <c r="I70" s="901">
        <f>+'Ciudad Conectada'!Z118</f>
        <v>1</v>
      </c>
      <c r="J70" s="869" t="s">
        <v>48</v>
      </c>
      <c r="K70" s="873" t="s">
        <v>2004</v>
      </c>
      <c r="P70"/>
    </row>
    <row r="71" spans="1:16" ht="29.4" thickBot="1" x14ac:dyDescent="0.35">
      <c r="A71" s="869" t="s">
        <v>2025</v>
      </c>
      <c r="B71" s="871">
        <f>'[1]PLAN DE DESARROLLO 2024 - 2027'!$K$123</f>
        <v>0.26239975735212717</v>
      </c>
      <c r="C71" s="869" t="s">
        <v>2031</v>
      </c>
      <c r="D71" s="872">
        <f>'[1]PLAN DE DESARROLLO 2024 - 2027'!$K$147</f>
        <v>0.37391919805103979</v>
      </c>
      <c r="E71" s="869" t="s">
        <v>2037</v>
      </c>
      <c r="F71" s="872">
        <f>'[1]PLAN DE DESARROLLO 2024 - 2027'!$K$151</f>
        <v>0.33406220779610435</v>
      </c>
      <c r="G71" s="869" t="s">
        <v>904</v>
      </c>
      <c r="H71" s="869" t="s">
        <v>1346</v>
      </c>
      <c r="I71" s="901">
        <f>+'Ciudad Conectada'!Z119</f>
        <v>1</v>
      </c>
      <c r="J71" s="869" t="s">
        <v>48</v>
      </c>
      <c r="K71" s="873" t="s">
        <v>2004</v>
      </c>
      <c r="P71"/>
    </row>
    <row r="72" spans="1:16" ht="29.4" thickBot="1" x14ac:dyDescent="0.35">
      <c r="A72" s="869" t="s">
        <v>2025</v>
      </c>
      <c r="B72" s="871">
        <f>'[1]PLAN DE DESARROLLO 2024 - 2027'!$K$123</f>
        <v>0.26239975735212717</v>
      </c>
      <c r="C72" s="869" t="s">
        <v>2031</v>
      </c>
      <c r="D72" s="872">
        <f>'[1]PLAN DE DESARROLLO 2024 - 2027'!$K$147</f>
        <v>0.37391919805103979</v>
      </c>
      <c r="E72" s="869" t="s">
        <v>2037</v>
      </c>
      <c r="F72" s="872">
        <f>'[1]PLAN DE DESARROLLO 2024 - 2027'!$K$151</f>
        <v>0.33406220779610435</v>
      </c>
      <c r="G72" s="869" t="s">
        <v>905</v>
      </c>
      <c r="H72" s="869" t="s">
        <v>1347</v>
      </c>
      <c r="I72" s="901">
        <f>+'Ciudad Conectada'!Z120</f>
        <v>0.8</v>
      </c>
      <c r="J72" s="869" t="s">
        <v>48</v>
      </c>
      <c r="K72" s="873" t="s">
        <v>2004</v>
      </c>
      <c r="P72"/>
    </row>
    <row r="73" spans="1:16" ht="38.4" customHeight="1" thickBot="1" x14ac:dyDescent="0.35">
      <c r="A73" s="869" t="s">
        <v>2025</v>
      </c>
      <c r="B73" s="871">
        <f>'[1]PLAN DE DESARROLLO 2024 - 2027'!$K$123</f>
        <v>0.26239975735212717</v>
      </c>
      <c r="C73" s="869" t="s">
        <v>2031</v>
      </c>
      <c r="D73" s="872">
        <f>'[1]PLAN DE DESARROLLO 2024 - 2027'!$K$147</f>
        <v>0.37391919805103979</v>
      </c>
      <c r="E73" s="869" t="s">
        <v>2039</v>
      </c>
      <c r="F73" s="872">
        <f>'[1]PLAN DE DESARROLLO 2024 - 2027'!$K$152</f>
        <v>0.61579910821757866</v>
      </c>
      <c r="G73" s="869" t="s">
        <v>906</v>
      </c>
      <c r="H73" s="869" t="s">
        <v>1348</v>
      </c>
      <c r="I73" s="901">
        <f>+'Ciudad Conectada'!Z122</f>
        <v>1</v>
      </c>
      <c r="J73" s="869" t="s">
        <v>907</v>
      </c>
      <c r="K73" s="873" t="s">
        <v>2004</v>
      </c>
      <c r="P73"/>
    </row>
    <row r="74" spans="1:16" ht="29.4" thickBot="1" x14ac:dyDescent="0.35">
      <c r="A74" s="869" t="s">
        <v>2025</v>
      </c>
      <c r="B74" s="871">
        <f>'[1]PLAN DE DESARROLLO 2024 - 2027'!$K$123</f>
        <v>0.26239975735212717</v>
      </c>
      <c r="C74" s="869" t="s">
        <v>2031</v>
      </c>
      <c r="D74" s="872">
        <f>'[1]PLAN DE DESARROLLO 2024 - 2027'!$K$147</f>
        <v>0.37391919805103979</v>
      </c>
      <c r="E74" s="869" t="s">
        <v>2039</v>
      </c>
      <c r="F74" s="872">
        <f>'[1]PLAN DE DESARROLLO 2024 - 2027'!$K$152</f>
        <v>0.61579910821757866</v>
      </c>
      <c r="G74" s="869" t="s">
        <v>908</v>
      </c>
      <c r="H74" s="869" t="s">
        <v>1349</v>
      </c>
      <c r="I74" s="901">
        <f>+'Ciudad Conectada'!Z123</f>
        <v>1</v>
      </c>
      <c r="J74" s="869" t="s">
        <v>907</v>
      </c>
      <c r="K74" s="873" t="s">
        <v>2004</v>
      </c>
      <c r="P74"/>
    </row>
    <row r="75" spans="1:16" ht="29.4" thickBot="1" x14ac:dyDescent="0.35">
      <c r="A75" s="869" t="s">
        <v>2025</v>
      </c>
      <c r="B75" s="871">
        <f>'[1]PLAN DE DESARROLLO 2024 - 2027'!$K$123</f>
        <v>0.26239975735212717</v>
      </c>
      <c r="C75" s="869" t="s">
        <v>2031</v>
      </c>
      <c r="D75" s="872">
        <f>'[1]PLAN DE DESARROLLO 2024 - 2027'!$K$147</f>
        <v>0.37391919805103979</v>
      </c>
      <c r="E75" s="869" t="s">
        <v>2039</v>
      </c>
      <c r="F75" s="872">
        <f>'[1]PLAN DE DESARROLLO 2024 - 2027'!$K$152</f>
        <v>0.61579910821757866</v>
      </c>
      <c r="G75" s="869" t="s">
        <v>909</v>
      </c>
      <c r="H75" s="869" t="s">
        <v>1350</v>
      </c>
      <c r="I75" s="902">
        <f>+'Ciudad Conectada'!Z124</f>
        <v>0</v>
      </c>
      <c r="J75" s="869" t="s">
        <v>907</v>
      </c>
      <c r="K75" s="873" t="s">
        <v>2004</v>
      </c>
      <c r="P75"/>
    </row>
    <row r="76" spans="1:16" ht="29.4" thickBot="1" x14ac:dyDescent="0.35">
      <c r="A76" s="869" t="s">
        <v>2025</v>
      </c>
      <c r="B76" s="871">
        <f>'[1]PLAN DE DESARROLLO 2024 - 2027'!$K$123</f>
        <v>0.26239975735212717</v>
      </c>
      <c r="C76" s="869" t="s">
        <v>2031</v>
      </c>
      <c r="D76" s="872">
        <f>'[1]PLAN DE DESARROLLO 2024 - 2027'!$K$147</f>
        <v>0.37391919805103979</v>
      </c>
      <c r="E76" s="869" t="s">
        <v>2039</v>
      </c>
      <c r="F76" s="872">
        <f>'[1]PLAN DE DESARROLLO 2024 - 2027'!$K$152</f>
        <v>0.61579910821757866</v>
      </c>
      <c r="G76" s="869" t="s">
        <v>910</v>
      </c>
      <c r="H76" s="869" t="s">
        <v>1351</v>
      </c>
      <c r="I76" s="901">
        <f>+'Ciudad Conectada'!Z125</f>
        <v>1</v>
      </c>
      <c r="J76" s="869" t="s">
        <v>907</v>
      </c>
      <c r="K76" s="873" t="s">
        <v>2004</v>
      </c>
      <c r="P76"/>
    </row>
    <row r="77" spans="1:16" ht="29.4" thickBot="1" x14ac:dyDescent="0.35">
      <c r="A77" s="869" t="s">
        <v>2025</v>
      </c>
      <c r="B77" s="871">
        <f>'[1]PLAN DE DESARROLLO 2024 - 2027'!$K$123</f>
        <v>0.26239975735212717</v>
      </c>
      <c r="C77" s="869" t="s">
        <v>2031</v>
      </c>
      <c r="D77" s="872">
        <f>'[1]PLAN DE DESARROLLO 2024 - 2027'!$K$147</f>
        <v>0.37391919805103979</v>
      </c>
      <c r="E77" s="869" t="s">
        <v>2039</v>
      </c>
      <c r="F77" s="872">
        <f>'[1]PLAN DE DESARROLLO 2024 - 2027'!$K$152</f>
        <v>0.61579910821757866</v>
      </c>
      <c r="G77" s="869" t="s">
        <v>911</v>
      </c>
      <c r="H77" s="869" t="s">
        <v>1352</v>
      </c>
      <c r="I77" s="902">
        <f>+'Ciudad Conectada'!Z126</f>
        <v>0</v>
      </c>
      <c r="J77" s="869" t="s">
        <v>907</v>
      </c>
      <c r="K77" s="873" t="s">
        <v>2004</v>
      </c>
      <c r="P77"/>
    </row>
    <row r="78" spans="1:16" ht="29.4" thickBot="1" x14ac:dyDescent="0.35">
      <c r="A78" s="869" t="s">
        <v>2025</v>
      </c>
      <c r="B78" s="871">
        <f>'[1]PLAN DE DESARROLLO 2024 - 2027'!$K$123</f>
        <v>0.26239975735212717</v>
      </c>
      <c r="C78" s="869" t="s">
        <v>2031</v>
      </c>
      <c r="D78" s="872">
        <f>'[1]PLAN DE DESARROLLO 2024 - 2027'!$K$147</f>
        <v>0.37391919805103979</v>
      </c>
      <c r="E78" s="869" t="s">
        <v>2039</v>
      </c>
      <c r="F78" s="872">
        <f>'[1]PLAN DE DESARROLLO 2024 - 2027'!$K$152</f>
        <v>0.61579910821757866</v>
      </c>
      <c r="G78" s="869" t="s">
        <v>912</v>
      </c>
      <c r="H78" s="869" t="s">
        <v>1353</v>
      </c>
      <c r="I78" s="901">
        <f>+'Ciudad Conectada'!Z127</f>
        <v>1</v>
      </c>
      <c r="J78" s="869" t="s">
        <v>907</v>
      </c>
      <c r="K78" s="873" t="s">
        <v>2004</v>
      </c>
      <c r="P78"/>
    </row>
    <row r="79" spans="1:16" ht="29.4" thickBot="1" x14ac:dyDescent="0.35">
      <c r="A79" s="869" t="s">
        <v>2025</v>
      </c>
      <c r="B79" s="871">
        <f>'[1]PLAN DE DESARROLLO 2024 - 2027'!$K$123</f>
        <v>0.26239975735212717</v>
      </c>
      <c r="C79" s="869" t="s">
        <v>2031</v>
      </c>
      <c r="D79" s="872">
        <f>'[1]PLAN DE DESARROLLO 2024 - 2027'!$K$147</f>
        <v>0.37391919805103979</v>
      </c>
      <c r="E79" s="869" t="s">
        <v>2039</v>
      </c>
      <c r="F79" s="872">
        <f>'[1]PLAN DE DESARROLLO 2024 - 2027'!$K$152</f>
        <v>0.61579910821757866</v>
      </c>
      <c r="G79" s="869" t="s">
        <v>913</v>
      </c>
      <c r="H79" s="869" t="s">
        <v>1354</v>
      </c>
      <c r="I79" s="901">
        <f>+'Ciudad Conectada'!Z128</f>
        <v>0.72</v>
      </c>
      <c r="J79" s="869" t="s">
        <v>907</v>
      </c>
      <c r="K79" s="873" t="s">
        <v>2004</v>
      </c>
      <c r="P79"/>
    </row>
    <row r="80" spans="1:16" ht="29.4" thickBot="1" x14ac:dyDescent="0.35">
      <c r="A80" s="869" t="s">
        <v>2025</v>
      </c>
      <c r="B80" s="871">
        <f>'[1]PLAN DE DESARROLLO 2024 - 2027'!$K$123</f>
        <v>0.26239975735212717</v>
      </c>
      <c r="C80" s="869" t="s">
        <v>2031</v>
      </c>
      <c r="D80" s="872">
        <f>'[1]PLAN DE DESARROLLO 2024 - 2027'!$K$147</f>
        <v>0.37391919805103979</v>
      </c>
      <c r="E80" s="869" t="s">
        <v>2039</v>
      </c>
      <c r="F80" s="872">
        <f>'[1]PLAN DE DESARROLLO 2024 - 2027'!$K$152</f>
        <v>0.61579910821757866</v>
      </c>
      <c r="G80" s="869" t="s">
        <v>914</v>
      </c>
      <c r="H80" s="869" t="s">
        <v>1355</v>
      </c>
      <c r="I80" s="901">
        <f>+'Ciudad Conectada'!Z129</f>
        <v>0.23333333333333331</v>
      </c>
      <c r="J80" s="869" t="s">
        <v>2040</v>
      </c>
      <c r="K80" s="873" t="s">
        <v>2004</v>
      </c>
      <c r="P80"/>
    </row>
    <row r="81" spans="1:16" ht="29.4" thickBot="1" x14ac:dyDescent="0.35">
      <c r="A81" s="869" t="s">
        <v>2025</v>
      </c>
      <c r="B81" s="871">
        <f>'[1]PLAN DE DESARROLLO 2024 - 2027'!$K$123</f>
        <v>0.26239975735212717</v>
      </c>
      <c r="C81" s="869" t="s">
        <v>2031</v>
      </c>
      <c r="D81" s="872">
        <f>'[1]PLAN DE DESARROLLO 2024 - 2027'!$K$147</f>
        <v>0.37391919805103979</v>
      </c>
      <c r="E81" s="869" t="s">
        <v>2039</v>
      </c>
      <c r="F81" s="872">
        <f>'[1]PLAN DE DESARROLLO 2024 - 2027'!$K$152</f>
        <v>0.61579910821757866</v>
      </c>
      <c r="G81" s="869" t="s">
        <v>916</v>
      </c>
      <c r="H81" s="869" t="s">
        <v>1356</v>
      </c>
      <c r="I81" s="902">
        <f>+'Ciudad Conectada'!Z130</f>
        <v>0</v>
      </c>
      <c r="J81" s="869" t="s">
        <v>2041</v>
      </c>
      <c r="K81" s="873" t="s">
        <v>2004</v>
      </c>
      <c r="P81"/>
    </row>
    <row r="82" spans="1:16" ht="29.4" thickBot="1" x14ac:dyDescent="0.35">
      <c r="A82" s="869" t="s">
        <v>2025</v>
      </c>
      <c r="B82" s="871">
        <f>'[1]PLAN DE DESARROLLO 2024 - 2027'!$K$123</f>
        <v>0.26239975735212717</v>
      </c>
      <c r="C82" s="869" t="s">
        <v>2031</v>
      </c>
      <c r="D82" s="872">
        <f>'[1]PLAN DE DESARROLLO 2024 - 2027'!$K$147</f>
        <v>0.37391919805103979</v>
      </c>
      <c r="E82" s="869" t="s">
        <v>2039</v>
      </c>
      <c r="F82" s="872">
        <f>'[1]PLAN DE DESARROLLO 2024 - 2027'!$K$152</f>
        <v>0.61579910821757866</v>
      </c>
      <c r="G82" s="869" t="s">
        <v>918</v>
      </c>
      <c r="H82" s="869" t="s">
        <v>1357</v>
      </c>
      <c r="I82" s="901">
        <f>+'Ciudad Conectada'!Z131</f>
        <v>0.2</v>
      </c>
      <c r="J82" s="869" t="s">
        <v>2041</v>
      </c>
      <c r="K82" s="873" t="s">
        <v>2004</v>
      </c>
      <c r="P82"/>
    </row>
    <row r="83" spans="1:16" ht="29.4" thickBot="1" x14ac:dyDescent="0.35">
      <c r="A83" s="869" t="s">
        <v>2025</v>
      </c>
      <c r="B83" s="871">
        <f>'[1]PLAN DE DESARROLLO 2024 - 2027'!$K$123</f>
        <v>0.26239975735212717</v>
      </c>
      <c r="C83" s="869" t="s">
        <v>2031</v>
      </c>
      <c r="D83" s="872">
        <f>'[1]PLAN DE DESARROLLO 2024 - 2027'!$K$147</f>
        <v>0.37391919805103979</v>
      </c>
      <c r="E83" s="869" t="s">
        <v>2039</v>
      </c>
      <c r="F83" s="872">
        <f>'[1]PLAN DE DESARROLLO 2024 - 2027'!$K$152</f>
        <v>0.61579910821757866</v>
      </c>
      <c r="G83" s="869" t="s">
        <v>919</v>
      </c>
      <c r="H83" s="869" t="s">
        <v>1358</v>
      </c>
      <c r="I83" s="901">
        <f>+'Ciudad Conectada'!Z132</f>
        <v>1</v>
      </c>
      <c r="J83" s="869" t="s">
        <v>907</v>
      </c>
      <c r="K83" s="873" t="s">
        <v>2004</v>
      </c>
      <c r="P83"/>
    </row>
    <row r="84" spans="1:16" ht="29.4" thickBot="1" x14ac:dyDescent="0.35">
      <c r="A84" s="869" t="s">
        <v>2025</v>
      </c>
      <c r="B84" s="871">
        <f>'[1]PLAN DE DESARROLLO 2024 - 2027'!$K$123</f>
        <v>0.26239975735212717</v>
      </c>
      <c r="C84" s="869" t="s">
        <v>2031</v>
      </c>
      <c r="D84" s="872">
        <f>'[1]PLAN DE DESARROLLO 2024 - 2027'!$K$147</f>
        <v>0.37391919805103979</v>
      </c>
      <c r="E84" s="869" t="s">
        <v>2039</v>
      </c>
      <c r="F84" s="872">
        <f>'[1]PLAN DE DESARROLLO 2024 - 2027'!$K$152</f>
        <v>0.61579910821757866</v>
      </c>
      <c r="G84" s="869" t="s">
        <v>920</v>
      </c>
      <c r="H84" s="869" t="s">
        <v>1359</v>
      </c>
      <c r="I84" s="901">
        <f>+'Ciudad Conectada'!Z133</f>
        <v>1</v>
      </c>
      <c r="J84" s="869" t="s">
        <v>907</v>
      </c>
      <c r="K84" s="873" t="s">
        <v>2004</v>
      </c>
      <c r="P84"/>
    </row>
    <row r="85" spans="1:16" ht="29.4" thickBot="1" x14ac:dyDescent="0.35">
      <c r="A85" s="869" t="s">
        <v>2025</v>
      </c>
      <c r="B85" s="871">
        <f>'[1]PLAN DE DESARROLLO 2024 - 2027'!$K$123</f>
        <v>0.26239975735212717</v>
      </c>
      <c r="C85" s="869" t="s">
        <v>2031</v>
      </c>
      <c r="D85" s="872">
        <f>'[1]PLAN DE DESARROLLO 2024 - 2027'!$K$147</f>
        <v>0.37391919805103979</v>
      </c>
      <c r="E85" s="869" t="s">
        <v>2039</v>
      </c>
      <c r="F85" s="872">
        <f>'[1]PLAN DE DESARROLLO 2024 - 2027'!$K$152</f>
        <v>0.61579910821757866</v>
      </c>
      <c r="G85" s="869" t="s">
        <v>921</v>
      </c>
      <c r="H85" s="869" t="s">
        <v>1360</v>
      </c>
      <c r="I85" s="901">
        <f>+'Ciudad Conectada'!Z134</f>
        <v>0.42527561561328764</v>
      </c>
      <c r="J85" s="869" t="s">
        <v>907</v>
      </c>
      <c r="K85" s="873" t="s">
        <v>2004</v>
      </c>
      <c r="P85"/>
    </row>
    <row r="86" spans="1:16" ht="29.4" thickBot="1" x14ac:dyDescent="0.35">
      <c r="A86" s="869" t="s">
        <v>2025</v>
      </c>
      <c r="B86" s="874">
        <f>'[1]PLAN DE DESARROLLO 2024 - 2027'!$K$123</f>
        <v>0.26239975735212717</v>
      </c>
      <c r="C86" s="869" t="s">
        <v>2042</v>
      </c>
      <c r="D86" s="875">
        <v>0</v>
      </c>
      <c r="E86" s="869" t="s">
        <v>1751</v>
      </c>
      <c r="F86" s="875">
        <v>0</v>
      </c>
      <c r="G86" s="869" t="s">
        <v>951</v>
      </c>
      <c r="H86" s="869" t="s">
        <v>1387</v>
      </c>
      <c r="I86" s="902">
        <v>0</v>
      </c>
      <c r="J86" s="869" t="s">
        <v>560</v>
      </c>
      <c r="K86" s="876" t="s">
        <v>2004</v>
      </c>
      <c r="P86"/>
    </row>
    <row r="87" spans="1:16" ht="29.4" thickBot="1" x14ac:dyDescent="0.35">
      <c r="A87" s="869" t="s">
        <v>2025</v>
      </c>
      <c r="B87" s="874">
        <f>'[1]PLAN DE DESARROLLO 2024 - 2027'!$K$123</f>
        <v>0.26239975735212717</v>
      </c>
      <c r="C87" s="869" t="s">
        <v>2042</v>
      </c>
      <c r="D87" s="875">
        <v>0</v>
      </c>
      <c r="E87" s="869" t="s">
        <v>1751</v>
      </c>
      <c r="F87" s="875">
        <v>0</v>
      </c>
      <c r="G87" s="869" t="s">
        <v>952</v>
      </c>
      <c r="H87" s="869" t="s">
        <v>1388</v>
      </c>
      <c r="I87" s="902">
        <v>0</v>
      </c>
      <c r="J87" s="869" t="s">
        <v>953</v>
      </c>
      <c r="K87" s="876" t="s">
        <v>2004</v>
      </c>
      <c r="P87"/>
    </row>
    <row r="88" spans="1:16" ht="29.4" thickBot="1" x14ac:dyDescent="0.35">
      <c r="A88" s="869" t="s">
        <v>2025</v>
      </c>
      <c r="B88" s="874">
        <f>'[1]PLAN DE DESARROLLO 2024 - 2027'!$K$123</f>
        <v>0.26239975735212717</v>
      </c>
      <c r="C88" s="869" t="s">
        <v>2042</v>
      </c>
      <c r="D88" s="875">
        <v>0</v>
      </c>
      <c r="E88" s="869" t="s">
        <v>1751</v>
      </c>
      <c r="F88" s="875">
        <v>0</v>
      </c>
      <c r="G88" s="869" t="s">
        <v>954</v>
      </c>
      <c r="H88" s="869" t="s">
        <v>1389</v>
      </c>
      <c r="I88" s="902">
        <v>0</v>
      </c>
      <c r="J88" s="869" t="s">
        <v>1872</v>
      </c>
      <c r="K88" s="876" t="s">
        <v>2004</v>
      </c>
      <c r="P88"/>
    </row>
    <row r="89" spans="1:16" ht="15" thickBot="1" x14ac:dyDescent="0.35">
      <c r="A89" s="869" t="s">
        <v>2025</v>
      </c>
      <c r="B89" s="871">
        <f>'[1]PLAN DE DESARROLLO 2024 - 2027'!$K$123</f>
        <v>0.26239975735212717</v>
      </c>
      <c r="C89" s="869" t="s">
        <v>2033</v>
      </c>
      <c r="D89" s="871">
        <f>'[1]PLAN DE DESARROLLO 2024 - 2027'!$K$153</f>
        <v>0.34122708333333335</v>
      </c>
      <c r="E89" s="869" t="s">
        <v>1816</v>
      </c>
      <c r="F89" s="872">
        <f>'[1]PLAN DE DESARROLLO 2024 - 2027'!$K$154</f>
        <v>0.18507500000000002</v>
      </c>
      <c r="G89" s="869" t="s">
        <v>922</v>
      </c>
      <c r="H89" s="869" t="s">
        <v>1361</v>
      </c>
      <c r="I89" s="901">
        <f>+'Ciudad Conectada'!Z137</f>
        <v>0.27032500000000004</v>
      </c>
      <c r="J89" s="869" t="s">
        <v>698</v>
      </c>
      <c r="K89" s="873" t="s">
        <v>2004</v>
      </c>
      <c r="P89"/>
    </row>
    <row r="90" spans="1:16" ht="29.4" thickBot="1" x14ac:dyDescent="0.35">
      <c r="A90" s="869" t="s">
        <v>2025</v>
      </c>
      <c r="B90" s="871">
        <f>'[1]PLAN DE DESARROLLO 2024 - 2027'!$K$123</f>
        <v>0.26239975735212717</v>
      </c>
      <c r="C90" s="869" t="s">
        <v>2033</v>
      </c>
      <c r="D90" s="871">
        <f>'[1]PLAN DE DESARROLLO 2024 - 2027'!$K$153</f>
        <v>0.34122708333333335</v>
      </c>
      <c r="E90" s="869" t="s">
        <v>1816</v>
      </c>
      <c r="F90" s="872">
        <f>'[1]PLAN DE DESARROLLO 2024 - 2027'!$K$154</f>
        <v>0.18507500000000002</v>
      </c>
      <c r="G90" s="869" t="s">
        <v>923</v>
      </c>
      <c r="H90" s="869" t="s">
        <v>1362</v>
      </c>
      <c r="I90" s="902">
        <f>+'Ciudad Conectada'!Z138</f>
        <v>0</v>
      </c>
      <c r="J90" s="869" t="s">
        <v>2043</v>
      </c>
      <c r="K90" s="873" t="s">
        <v>2004</v>
      </c>
      <c r="P90"/>
    </row>
    <row r="91" spans="1:16" ht="29.4" thickBot="1" x14ac:dyDescent="0.35">
      <c r="A91" s="869" t="s">
        <v>2025</v>
      </c>
      <c r="B91" s="871">
        <f>'[1]PLAN DE DESARROLLO 2024 - 2027'!$K$123</f>
        <v>0.26239975735212717</v>
      </c>
      <c r="C91" s="869" t="s">
        <v>2033</v>
      </c>
      <c r="D91" s="871">
        <f>'[1]PLAN DE DESARROLLO 2024 - 2027'!$K$153</f>
        <v>0.34122708333333335</v>
      </c>
      <c r="E91" s="869" t="s">
        <v>1816</v>
      </c>
      <c r="F91" s="872">
        <f>'[1]PLAN DE DESARROLLO 2024 - 2027'!$K$154</f>
        <v>0.18507500000000002</v>
      </c>
      <c r="G91" s="869" t="s">
        <v>925</v>
      </c>
      <c r="H91" s="869" t="s">
        <v>1363</v>
      </c>
      <c r="I91" s="902">
        <f>+'Ciudad Conectada'!Z139</f>
        <v>0</v>
      </c>
      <c r="J91" s="869" t="s">
        <v>2044</v>
      </c>
      <c r="K91" s="873" t="s">
        <v>2004</v>
      </c>
      <c r="P91"/>
    </row>
    <row r="92" spans="1:16" ht="29.4" thickBot="1" x14ac:dyDescent="0.35">
      <c r="A92" s="869" t="s">
        <v>2025</v>
      </c>
      <c r="B92" s="871">
        <f>'[1]PLAN DE DESARROLLO 2024 - 2027'!$K$123</f>
        <v>0.26239975735212717</v>
      </c>
      <c r="C92" s="869" t="s">
        <v>2033</v>
      </c>
      <c r="D92" s="871">
        <f>'[1]PLAN DE DESARROLLO 2024 - 2027'!$K$153</f>
        <v>0.34122708333333335</v>
      </c>
      <c r="E92" s="869" t="s">
        <v>1817</v>
      </c>
      <c r="F92" s="872">
        <f>'[1]PLAN DE DESARROLLO 2024 - 2027'!$K$155</f>
        <v>0.60866666666666669</v>
      </c>
      <c r="G92" s="869" t="s">
        <v>926</v>
      </c>
      <c r="H92" s="869" t="s">
        <v>1364</v>
      </c>
      <c r="I92" s="901">
        <f>+'Ciudad Conectada'!Z141</f>
        <v>1</v>
      </c>
      <c r="J92" s="869" t="s">
        <v>2045</v>
      </c>
      <c r="K92" s="873" t="s">
        <v>2004</v>
      </c>
      <c r="P92"/>
    </row>
    <row r="93" spans="1:16" ht="29.4" thickBot="1" x14ac:dyDescent="0.35">
      <c r="A93" s="869" t="s">
        <v>2025</v>
      </c>
      <c r="B93" s="871">
        <f>'[1]PLAN DE DESARROLLO 2024 - 2027'!$K$123</f>
        <v>0.26239975735212717</v>
      </c>
      <c r="C93" s="869" t="s">
        <v>2033</v>
      </c>
      <c r="D93" s="871">
        <f>'[1]PLAN DE DESARROLLO 2024 - 2027'!$K$153</f>
        <v>0.34122708333333335</v>
      </c>
      <c r="E93" s="869" t="s">
        <v>1817</v>
      </c>
      <c r="F93" s="872">
        <f>'[1]PLAN DE DESARROLLO 2024 - 2027'!$K$155</f>
        <v>0.60866666666666669</v>
      </c>
      <c r="G93" s="869" t="s">
        <v>928</v>
      </c>
      <c r="H93" s="869" t="s">
        <v>1365</v>
      </c>
      <c r="I93" s="901">
        <f>+'Ciudad Conectada'!Z142</f>
        <v>1</v>
      </c>
      <c r="J93" s="869" t="s">
        <v>2045</v>
      </c>
      <c r="K93" s="873" t="s">
        <v>2004</v>
      </c>
      <c r="P93"/>
    </row>
    <row r="94" spans="1:16" ht="29.4" thickBot="1" x14ac:dyDescent="0.35">
      <c r="A94" s="869" t="s">
        <v>2025</v>
      </c>
      <c r="B94" s="871">
        <f>'[1]PLAN DE DESARROLLO 2024 - 2027'!$K$123</f>
        <v>0.26239975735212717</v>
      </c>
      <c r="C94" s="869" t="s">
        <v>2033</v>
      </c>
      <c r="D94" s="871">
        <f>'[1]PLAN DE DESARROLLO 2024 - 2027'!$K$153</f>
        <v>0.34122708333333335</v>
      </c>
      <c r="E94" s="869" t="s">
        <v>1817</v>
      </c>
      <c r="F94" s="872">
        <f>'[1]PLAN DE DESARROLLO 2024 - 2027'!$K$155</f>
        <v>0.60866666666666669</v>
      </c>
      <c r="G94" s="869" t="s">
        <v>929</v>
      </c>
      <c r="H94" s="869" t="s">
        <v>1366</v>
      </c>
      <c r="I94" s="901">
        <f>+'Ciudad Conectada'!Z143</f>
        <v>1</v>
      </c>
      <c r="J94" s="869" t="s">
        <v>2045</v>
      </c>
      <c r="K94" s="873" t="s">
        <v>2004</v>
      </c>
      <c r="P94"/>
    </row>
    <row r="95" spans="1:16" ht="29.4" thickBot="1" x14ac:dyDescent="0.35">
      <c r="A95" s="869" t="s">
        <v>2025</v>
      </c>
      <c r="B95" s="871">
        <f>'[1]PLAN DE DESARROLLO 2024 - 2027'!$K$123</f>
        <v>0.26239975735212717</v>
      </c>
      <c r="C95" s="869" t="s">
        <v>2033</v>
      </c>
      <c r="D95" s="871">
        <f>'[1]PLAN DE DESARROLLO 2024 - 2027'!$K$153</f>
        <v>0.34122708333333335</v>
      </c>
      <c r="E95" s="869" t="s">
        <v>2046</v>
      </c>
      <c r="F95" s="872">
        <f>'[1]PLAN DE DESARROLLO 2024 - 2027'!$K$156</f>
        <v>0.434</v>
      </c>
      <c r="G95" s="869" t="s">
        <v>930</v>
      </c>
      <c r="H95" s="869" t="s">
        <v>1367</v>
      </c>
      <c r="I95" s="901">
        <f>+'Ciudad Conectada'!Z145</f>
        <v>0</v>
      </c>
      <c r="J95" s="869" t="s">
        <v>2047</v>
      </c>
      <c r="K95" s="873" t="s">
        <v>2004</v>
      </c>
      <c r="P95"/>
    </row>
    <row r="96" spans="1:16" ht="29.4" thickBot="1" x14ac:dyDescent="0.35">
      <c r="A96" s="869" t="s">
        <v>2025</v>
      </c>
      <c r="B96" s="871">
        <f>'[1]PLAN DE DESARROLLO 2024 - 2027'!$K$123</f>
        <v>0.26239975735212717</v>
      </c>
      <c r="C96" s="869" t="s">
        <v>2033</v>
      </c>
      <c r="D96" s="871">
        <f>'[1]PLAN DE DESARROLLO 2024 - 2027'!$K$153</f>
        <v>0.34122708333333335</v>
      </c>
      <c r="E96" s="869" t="s">
        <v>2046</v>
      </c>
      <c r="F96" s="872">
        <f>'[1]PLAN DE DESARROLLO 2024 - 2027'!$K$156</f>
        <v>0.434</v>
      </c>
      <c r="G96" s="869" t="s">
        <v>931</v>
      </c>
      <c r="H96" s="869" t="s">
        <v>1368</v>
      </c>
      <c r="I96" s="901">
        <f>+'Ciudad Conectada'!Z146</f>
        <v>1</v>
      </c>
      <c r="J96" s="869" t="s">
        <v>698</v>
      </c>
      <c r="K96" s="873" t="s">
        <v>2004</v>
      </c>
      <c r="P96"/>
    </row>
    <row r="97" spans="1:16" ht="29.4" thickBot="1" x14ac:dyDescent="0.35">
      <c r="A97" s="869" t="s">
        <v>2025</v>
      </c>
      <c r="B97" s="871">
        <f>'[1]PLAN DE DESARROLLO 2024 - 2027'!$K$123</f>
        <v>0.26239975735212717</v>
      </c>
      <c r="C97" s="869" t="s">
        <v>2033</v>
      </c>
      <c r="D97" s="871">
        <f>'[1]PLAN DE DESARROLLO 2024 - 2027'!$K$153</f>
        <v>0.34122708333333335</v>
      </c>
      <c r="E97" s="869" t="s">
        <v>2046</v>
      </c>
      <c r="F97" s="872">
        <f>'[1]PLAN DE DESARROLLO 2024 - 2027'!$K$156</f>
        <v>0.434</v>
      </c>
      <c r="G97" s="869" t="s">
        <v>932</v>
      </c>
      <c r="H97" s="869" t="s">
        <v>1369</v>
      </c>
      <c r="I97" s="901">
        <f>+'Ciudad Conectada'!Z147</f>
        <v>1</v>
      </c>
      <c r="J97" s="869" t="s">
        <v>698</v>
      </c>
      <c r="K97" s="873" t="s">
        <v>2004</v>
      </c>
      <c r="P97"/>
    </row>
    <row r="98" spans="1:16" ht="29.4" thickBot="1" x14ac:dyDescent="0.35">
      <c r="A98" s="869" t="s">
        <v>2025</v>
      </c>
      <c r="B98" s="871">
        <f>'[1]PLAN DE DESARROLLO 2024 - 2027'!$K$123</f>
        <v>0.26239975735212717</v>
      </c>
      <c r="C98" s="869" t="s">
        <v>2033</v>
      </c>
      <c r="D98" s="871">
        <f>'[1]PLAN DE DESARROLLO 2024 - 2027'!$K$153</f>
        <v>0.34122708333333335</v>
      </c>
      <c r="E98" s="869" t="s">
        <v>2046</v>
      </c>
      <c r="F98" s="872">
        <f>'[1]PLAN DE DESARROLLO 2024 - 2027'!$K$156</f>
        <v>0.434</v>
      </c>
      <c r="G98" s="869" t="s">
        <v>933</v>
      </c>
      <c r="H98" s="869" t="s">
        <v>1370</v>
      </c>
      <c r="I98" s="901">
        <f>+'Ciudad Conectada'!Z148</f>
        <v>0.25</v>
      </c>
      <c r="J98" s="869" t="s">
        <v>560</v>
      </c>
      <c r="K98" s="873" t="s">
        <v>2004</v>
      </c>
      <c r="P98"/>
    </row>
    <row r="99" spans="1:16" ht="29.4" thickBot="1" x14ac:dyDescent="0.35">
      <c r="A99" s="869" t="s">
        <v>2025</v>
      </c>
      <c r="B99" s="871">
        <f>'[1]PLAN DE DESARROLLO 2024 - 2027'!$K$123</f>
        <v>0.26239975735212717</v>
      </c>
      <c r="C99" s="869" t="s">
        <v>2033</v>
      </c>
      <c r="D99" s="871">
        <f>'[1]PLAN DE DESARROLLO 2024 - 2027'!$K$153</f>
        <v>0.34122708333333335</v>
      </c>
      <c r="E99" s="869" t="s">
        <v>2046</v>
      </c>
      <c r="F99" s="872">
        <f>'[1]PLAN DE DESARROLLO 2024 - 2027'!$K$156</f>
        <v>0.434</v>
      </c>
      <c r="G99" s="869" t="s">
        <v>934</v>
      </c>
      <c r="H99" s="869" t="s">
        <v>1371</v>
      </c>
      <c r="I99" s="901">
        <f>+'Ciudad Conectada'!Z149</f>
        <v>0</v>
      </c>
      <c r="J99" s="869" t="s">
        <v>2044</v>
      </c>
      <c r="K99" s="873" t="s">
        <v>2004</v>
      </c>
      <c r="P99"/>
    </row>
    <row r="100" spans="1:16" ht="29.4" thickBot="1" x14ac:dyDescent="0.35">
      <c r="A100" s="869" t="s">
        <v>2025</v>
      </c>
      <c r="B100" s="871">
        <f>'[1]PLAN DE DESARROLLO 2024 - 2027'!$K$123</f>
        <v>0.26239975735212717</v>
      </c>
      <c r="C100" s="869" t="s">
        <v>2033</v>
      </c>
      <c r="D100" s="871">
        <f>'[1]PLAN DE DESARROLLO 2024 - 2027'!$K$153</f>
        <v>0.34122708333333335</v>
      </c>
      <c r="E100" s="869" t="s">
        <v>2048</v>
      </c>
      <c r="F100" s="872">
        <f>'[1]PLAN DE DESARROLLO 2024 - 2027'!$K$157</f>
        <v>0.13716666666666669</v>
      </c>
      <c r="G100" s="869" t="s">
        <v>935</v>
      </c>
      <c r="H100" s="869" t="s">
        <v>1372</v>
      </c>
      <c r="I100" s="901">
        <f>+'Ciudad Conectada'!Z151</f>
        <v>1</v>
      </c>
      <c r="J100" s="869" t="s">
        <v>698</v>
      </c>
      <c r="K100" s="873" t="s">
        <v>2004</v>
      </c>
      <c r="P100"/>
    </row>
    <row r="101" spans="1:16" ht="43.8" thickBot="1" x14ac:dyDescent="0.35">
      <c r="A101" s="869" t="s">
        <v>2025</v>
      </c>
      <c r="B101" s="871">
        <f>'[1]PLAN DE DESARROLLO 2024 - 2027'!$K$123</f>
        <v>0.26239975735212717</v>
      </c>
      <c r="C101" s="869" t="s">
        <v>2033</v>
      </c>
      <c r="D101" s="871">
        <f>'[1]PLAN DE DESARROLLO 2024 - 2027'!$K$153</f>
        <v>0.34122708333333335</v>
      </c>
      <c r="E101" s="869" t="s">
        <v>2048</v>
      </c>
      <c r="F101" s="872">
        <f>'[1]PLAN DE DESARROLLO 2024 - 2027'!$K$157</f>
        <v>0.13716666666666669</v>
      </c>
      <c r="G101" s="869" t="s">
        <v>937</v>
      </c>
      <c r="H101" s="869" t="s">
        <v>1373</v>
      </c>
      <c r="I101" s="901">
        <f>+'Ciudad Conectada'!Z152</f>
        <v>0.43</v>
      </c>
      <c r="J101" s="869" t="s">
        <v>698</v>
      </c>
      <c r="K101" s="873" t="s">
        <v>2004</v>
      </c>
      <c r="P101"/>
    </row>
    <row r="102" spans="1:16" ht="43.8" thickBot="1" x14ac:dyDescent="0.35">
      <c r="A102" s="869" t="s">
        <v>2025</v>
      </c>
      <c r="B102" s="871">
        <f>'[1]PLAN DE DESARROLLO 2024 - 2027'!$K$123</f>
        <v>0.26239975735212717</v>
      </c>
      <c r="C102" s="869" t="s">
        <v>2033</v>
      </c>
      <c r="D102" s="871">
        <f>'[1]PLAN DE DESARROLLO 2024 - 2027'!$K$153</f>
        <v>0.34122708333333335</v>
      </c>
      <c r="E102" s="869" t="s">
        <v>2048</v>
      </c>
      <c r="F102" s="872">
        <f>'[1]PLAN DE DESARROLLO 2024 - 2027'!$K$157</f>
        <v>0.13716666666666669</v>
      </c>
      <c r="G102" s="869" t="s">
        <v>938</v>
      </c>
      <c r="H102" s="869" t="s">
        <v>1374</v>
      </c>
      <c r="I102" s="901">
        <f>+'Ciudad Conectada'!Z153</f>
        <v>0.25</v>
      </c>
      <c r="J102" s="869" t="s">
        <v>698</v>
      </c>
      <c r="K102" s="873" t="s">
        <v>2004</v>
      </c>
      <c r="P102"/>
    </row>
    <row r="103" spans="1:16" ht="29.4" thickBot="1" x14ac:dyDescent="0.35">
      <c r="A103" s="869" t="s">
        <v>2025</v>
      </c>
      <c r="B103" s="871">
        <f>'[1]PLAN DE DESARROLLO 2024 - 2027'!$K$123</f>
        <v>0.26239975735212717</v>
      </c>
      <c r="C103" s="869" t="s">
        <v>2033</v>
      </c>
      <c r="D103" s="871">
        <f>'[1]PLAN DE DESARROLLO 2024 - 2027'!$K$153</f>
        <v>0.34122708333333335</v>
      </c>
      <c r="E103" s="869" t="s">
        <v>2048</v>
      </c>
      <c r="F103" s="872">
        <f>'[1]PLAN DE DESARROLLO 2024 - 2027'!$K$157</f>
        <v>0.13716666666666669</v>
      </c>
      <c r="G103" s="869" t="s">
        <v>939</v>
      </c>
      <c r="H103" s="869" t="s">
        <v>1375</v>
      </c>
      <c r="I103" s="901">
        <f>+'Ciudad Conectada'!Z154</f>
        <v>0.6</v>
      </c>
      <c r="J103" s="869" t="s">
        <v>560</v>
      </c>
      <c r="K103" s="873" t="s">
        <v>2004</v>
      </c>
      <c r="P103"/>
    </row>
    <row r="104" spans="1:16" ht="29.4" thickBot="1" x14ac:dyDescent="0.35">
      <c r="A104" s="869" t="s">
        <v>2025</v>
      </c>
      <c r="B104" s="871">
        <f>'[1]PLAN DE DESARROLLO 2024 - 2027'!$K$123</f>
        <v>0.26239975735212717</v>
      </c>
      <c r="C104" s="869" t="s">
        <v>2033</v>
      </c>
      <c r="D104" s="871">
        <f>'[1]PLAN DE DESARROLLO 2024 - 2027'!$K$153</f>
        <v>0.34122708333333335</v>
      </c>
      <c r="E104" s="869" t="s">
        <v>2048</v>
      </c>
      <c r="F104" s="872">
        <f>'[1]PLAN DE DESARROLLO 2024 - 2027'!$K$157</f>
        <v>0.13716666666666669</v>
      </c>
      <c r="G104" s="869" t="s">
        <v>940</v>
      </c>
      <c r="H104" s="869" t="s">
        <v>1376</v>
      </c>
      <c r="I104" s="901">
        <f>+'Ciudad Conectada'!Z155</f>
        <v>0</v>
      </c>
      <c r="J104" s="869" t="s">
        <v>560</v>
      </c>
      <c r="K104" s="873" t="s">
        <v>2004</v>
      </c>
      <c r="P104"/>
    </row>
    <row r="105" spans="1:16" ht="15" thickBot="1" x14ac:dyDescent="0.35">
      <c r="A105" s="869" t="s">
        <v>2025</v>
      </c>
      <c r="B105" s="871">
        <f>'[1]PLAN DE DESARROLLO 2024 - 2027'!$K$123</f>
        <v>0.26239975735212717</v>
      </c>
      <c r="C105" s="869" t="s">
        <v>2033</v>
      </c>
      <c r="D105" s="871">
        <f>'[1]PLAN DE DESARROLLO 2024 - 2027'!$K$153</f>
        <v>0.34122708333333335</v>
      </c>
      <c r="E105" s="869" t="s">
        <v>2048</v>
      </c>
      <c r="F105" s="872">
        <f>'[1]PLAN DE DESARROLLO 2024 - 2027'!$K$157</f>
        <v>0.13716666666666669</v>
      </c>
      <c r="G105" s="869" t="s">
        <v>941</v>
      </c>
      <c r="H105" s="869" t="s">
        <v>1377</v>
      </c>
      <c r="I105" s="901">
        <f>+'Ciudad Conectada'!Z156</f>
        <v>5.6666666666666671E-2</v>
      </c>
      <c r="J105" s="869" t="s">
        <v>560</v>
      </c>
      <c r="K105" s="873" t="s">
        <v>2004</v>
      </c>
      <c r="P105"/>
    </row>
    <row r="106" spans="1:16" ht="42.6" customHeight="1" thickBot="1" x14ac:dyDescent="0.35">
      <c r="A106" s="869" t="s">
        <v>2025</v>
      </c>
      <c r="B106" s="871">
        <f>'[1]PLAN DE DESARROLLO 2024 - 2027'!$K$123</f>
        <v>0.26239975735212717</v>
      </c>
      <c r="C106" s="869" t="s">
        <v>2033</v>
      </c>
      <c r="D106" s="871">
        <f>'[1]PLAN DE DESARROLLO 2024 - 2027'!$K$153</f>
        <v>0.34122708333333335</v>
      </c>
      <c r="E106" s="869" t="s">
        <v>2048</v>
      </c>
      <c r="F106" s="872">
        <f>'[1]PLAN DE DESARROLLO 2024 - 2027'!$K$157</f>
        <v>0.13716666666666669</v>
      </c>
      <c r="G106" s="869" t="s">
        <v>942</v>
      </c>
      <c r="H106" s="869" t="s">
        <v>1378</v>
      </c>
      <c r="I106" s="901">
        <f>+'Ciudad Conectada'!Z157</f>
        <v>0.15000000000000002</v>
      </c>
      <c r="J106" s="869" t="s">
        <v>560</v>
      </c>
      <c r="K106" s="873" t="s">
        <v>2004</v>
      </c>
      <c r="P106"/>
    </row>
    <row r="107" spans="1:16" ht="29.4" thickBot="1" x14ac:dyDescent="0.35">
      <c r="A107" s="869" t="s">
        <v>2025</v>
      </c>
      <c r="B107" s="871">
        <f>'[1]PLAN DE DESARROLLO 2024 - 2027'!$K$123</f>
        <v>0.26239975735212717</v>
      </c>
      <c r="C107" s="869" t="s">
        <v>2033</v>
      </c>
      <c r="D107" s="871">
        <f>'[1]PLAN DE DESARROLLO 2024 - 2027'!$K$153</f>
        <v>0.34122708333333335</v>
      </c>
      <c r="E107" s="869" t="s">
        <v>2048</v>
      </c>
      <c r="F107" s="872">
        <f>'[1]PLAN DE DESARROLLO 2024 - 2027'!$K$157</f>
        <v>0.13716666666666669</v>
      </c>
      <c r="G107" s="869" t="s">
        <v>943</v>
      </c>
      <c r="H107" s="869" t="s">
        <v>1379</v>
      </c>
      <c r="I107" s="902">
        <f>+'Ciudad Conectada'!Z158</f>
        <v>0</v>
      </c>
      <c r="J107" s="869" t="s">
        <v>560</v>
      </c>
      <c r="K107" s="873" t="s">
        <v>2004</v>
      </c>
      <c r="P107"/>
    </row>
    <row r="108" spans="1:16" ht="29.4" thickBot="1" x14ac:dyDescent="0.35">
      <c r="A108" s="869" t="s">
        <v>2025</v>
      </c>
      <c r="B108" s="871">
        <f>'[1]PLAN DE DESARROLLO 2024 - 2027'!$K$123</f>
        <v>0.26239975735212717</v>
      </c>
      <c r="C108" s="869" t="s">
        <v>2049</v>
      </c>
      <c r="D108" s="872">
        <f>'[1]PLAN DE DESARROLLO 2024 - 2027'!$K$124</f>
        <v>0.27085566891891893</v>
      </c>
      <c r="E108" s="869" t="s">
        <v>1803</v>
      </c>
      <c r="F108" s="872">
        <f>'[1]PLAN DE DESARROLLO 2024 - 2027'!$K$125</f>
        <v>0.2578125</v>
      </c>
      <c r="G108" s="869" t="s">
        <v>799</v>
      </c>
      <c r="H108" s="869" t="s">
        <v>1261</v>
      </c>
      <c r="I108" s="901">
        <f>+'Ciudad Conectada'!Z6</f>
        <v>0.64290000000000003</v>
      </c>
      <c r="J108" s="869" t="s">
        <v>560</v>
      </c>
      <c r="K108" s="873" t="s">
        <v>2004</v>
      </c>
      <c r="P108"/>
    </row>
    <row r="109" spans="1:16" ht="43.8" thickBot="1" x14ac:dyDescent="0.35">
      <c r="A109" s="869" t="s">
        <v>2025</v>
      </c>
      <c r="B109" s="871">
        <f>'[1]PLAN DE DESARROLLO 2024 - 2027'!$K$123</f>
        <v>0.26239975735212717</v>
      </c>
      <c r="C109" s="869" t="s">
        <v>2049</v>
      </c>
      <c r="D109" s="872">
        <f>'[1]PLAN DE DESARROLLO 2024 - 2027'!$K$124</f>
        <v>0.27085566891891893</v>
      </c>
      <c r="E109" s="869" t="s">
        <v>1803</v>
      </c>
      <c r="F109" s="872">
        <f>'[1]PLAN DE DESARROLLO 2024 - 2027'!$K$125</f>
        <v>0.2578125</v>
      </c>
      <c r="G109" s="869" t="s">
        <v>800</v>
      </c>
      <c r="H109" s="869" t="s">
        <v>1262</v>
      </c>
      <c r="I109" s="901">
        <f>+'Ciudad Conectada'!Z7</f>
        <v>0.86</v>
      </c>
      <c r="J109" s="869" t="s">
        <v>560</v>
      </c>
      <c r="K109" s="873" t="s">
        <v>2004</v>
      </c>
      <c r="P109"/>
    </row>
    <row r="110" spans="1:16" ht="29.4" thickBot="1" x14ac:dyDescent="0.35">
      <c r="A110" s="869" t="s">
        <v>2025</v>
      </c>
      <c r="B110" s="871">
        <f>'[1]PLAN DE DESARROLLO 2024 - 2027'!$K$123</f>
        <v>0.26239975735212717</v>
      </c>
      <c r="C110" s="869" t="s">
        <v>2049</v>
      </c>
      <c r="D110" s="872">
        <f>'[1]PLAN DE DESARROLLO 2024 - 2027'!$K$124</f>
        <v>0.27085566891891893</v>
      </c>
      <c r="E110" s="869" t="s">
        <v>1803</v>
      </c>
      <c r="F110" s="872">
        <f>'[1]PLAN DE DESARROLLO 2024 - 2027'!$K$125</f>
        <v>0.2578125</v>
      </c>
      <c r="G110" s="869" t="s">
        <v>801</v>
      </c>
      <c r="H110" s="869" t="s">
        <v>1263</v>
      </c>
      <c r="I110" s="902">
        <f>+'Ciudad Conectada'!Z8</f>
        <v>0</v>
      </c>
      <c r="J110" s="869" t="s">
        <v>2050</v>
      </c>
      <c r="K110" s="873" t="s">
        <v>2004</v>
      </c>
      <c r="P110"/>
    </row>
    <row r="111" spans="1:16" ht="29.4" thickBot="1" x14ac:dyDescent="0.35">
      <c r="A111" s="869" t="s">
        <v>2025</v>
      </c>
      <c r="B111" s="871">
        <f>'[1]PLAN DE DESARROLLO 2024 - 2027'!$K$123</f>
        <v>0.26239975735212717</v>
      </c>
      <c r="C111" s="869" t="s">
        <v>2049</v>
      </c>
      <c r="D111" s="872">
        <f>'[1]PLAN DE DESARROLLO 2024 - 2027'!$K$124</f>
        <v>0.27085566891891893</v>
      </c>
      <c r="E111" s="869" t="s">
        <v>1803</v>
      </c>
      <c r="F111" s="872">
        <f>'[1]PLAN DE DESARROLLO 2024 - 2027'!$K$125</f>
        <v>0.2578125</v>
      </c>
      <c r="G111" s="869" t="s">
        <v>803</v>
      </c>
      <c r="H111" s="869" t="s">
        <v>1264</v>
      </c>
      <c r="I111" s="902">
        <f>+'Ciudad Conectada'!Z9</f>
        <v>0</v>
      </c>
      <c r="J111" s="869" t="s">
        <v>560</v>
      </c>
      <c r="K111" s="873" t="s">
        <v>2004</v>
      </c>
      <c r="P111"/>
    </row>
    <row r="112" spans="1:16" ht="58.2" thickBot="1" x14ac:dyDescent="0.35">
      <c r="A112" s="869" t="s">
        <v>2025</v>
      </c>
      <c r="B112" s="871">
        <f>'[1]PLAN DE DESARROLLO 2024 - 2027'!$K$123</f>
        <v>0.26239975735212717</v>
      </c>
      <c r="C112" s="869" t="s">
        <v>2049</v>
      </c>
      <c r="D112" s="872">
        <f>'[1]PLAN DE DESARROLLO 2024 - 2027'!$K$124</f>
        <v>0.27085566891891893</v>
      </c>
      <c r="E112" s="869" t="s">
        <v>1803</v>
      </c>
      <c r="F112" s="872">
        <f>'[1]PLAN DE DESARROLLO 2024 - 2027'!$K$125</f>
        <v>0.2578125</v>
      </c>
      <c r="G112" s="869" t="s">
        <v>804</v>
      </c>
      <c r="H112" s="869" t="s">
        <v>1265</v>
      </c>
      <c r="I112" s="902">
        <f>+'Ciudad Conectada'!Z10</f>
        <v>0</v>
      </c>
      <c r="J112" s="869" t="s">
        <v>560</v>
      </c>
      <c r="K112" s="873" t="s">
        <v>2004</v>
      </c>
      <c r="P112"/>
    </row>
    <row r="113" spans="1:16" ht="43.8" thickBot="1" x14ac:dyDescent="0.35">
      <c r="A113" s="869" t="s">
        <v>2025</v>
      </c>
      <c r="B113" s="871">
        <f>'[1]PLAN DE DESARROLLO 2024 - 2027'!$K$123</f>
        <v>0.26239975735212717</v>
      </c>
      <c r="C113" s="869" t="s">
        <v>2049</v>
      </c>
      <c r="D113" s="872">
        <f>'[1]PLAN DE DESARROLLO 2024 - 2027'!$K$124</f>
        <v>0.27085566891891893</v>
      </c>
      <c r="E113" s="869" t="s">
        <v>1803</v>
      </c>
      <c r="F113" s="872">
        <f>'[1]PLAN DE DESARROLLO 2024 - 2027'!$K$125</f>
        <v>0.2578125</v>
      </c>
      <c r="G113" s="869" t="s">
        <v>805</v>
      </c>
      <c r="H113" s="869" t="s">
        <v>1266</v>
      </c>
      <c r="I113" s="902">
        <f>+'Ciudad Conectada'!Z11</f>
        <v>0</v>
      </c>
      <c r="J113" s="869" t="s">
        <v>560</v>
      </c>
      <c r="K113" s="873" t="s">
        <v>2004</v>
      </c>
      <c r="P113"/>
    </row>
    <row r="114" spans="1:16" ht="29.4" thickBot="1" x14ac:dyDescent="0.35">
      <c r="A114" s="869" t="s">
        <v>2025</v>
      </c>
      <c r="B114" s="871">
        <f>'[1]PLAN DE DESARROLLO 2024 - 2027'!$K$123</f>
        <v>0.26239975735212717</v>
      </c>
      <c r="C114" s="869" t="s">
        <v>2049</v>
      </c>
      <c r="D114" s="872">
        <f>'[1]PLAN DE DESARROLLO 2024 - 2027'!$K$124</f>
        <v>0.27085566891891893</v>
      </c>
      <c r="E114" s="869" t="s">
        <v>1803</v>
      </c>
      <c r="F114" s="872">
        <f>'[1]PLAN DE DESARROLLO 2024 - 2027'!$K$125</f>
        <v>0.2578125</v>
      </c>
      <c r="G114" s="869" t="s">
        <v>806</v>
      </c>
      <c r="H114" s="869" t="s">
        <v>1267</v>
      </c>
      <c r="I114" s="902">
        <f>+'Ciudad Conectada'!Z12</f>
        <v>0.1</v>
      </c>
      <c r="J114" s="869" t="s">
        <v>560</v>
      </c>
      <c r="K114" s="873" t="s">
        <v>2004</v>
      </c>
      <c r="P114"/>
    </row>
    <row r="115" spans="1:16" ht="29.4" thickBot="1" x14ac:dyDescent="0.35">
      <c r="A115" s="869" t="s">
        <v>2025</v>
      </c>
      <c r="B115" s="871">
        <f>'[1]PLAN DE DESARROLLO 2024 - 2027'!$K$123</f>
        <v>0.26239975735212717</v>
      </c>
      <c r="C115" s="869" t="s">
        <v>2049</v>
      </c>
      <c r="D115" s="872">
        <f>'[1]PLAN DE DESARROLLO 2024 - 2027'!$K$124</f>
        <v>0.27085566891891893</v>
      </c>
      <c r="E115" s="869" t="s">
        <v>1803</v>
      </c>
      <c r="F115" s="872">
        <f>'[1]PLAN DE DESARROLLO 2024 - 2027'!$K$125</f>
        <v>0.2578125</v>
      </c>
      <c r="G115" s="869" t="s">
        <v>807</v>
      </c>
      <c r="H115" s="869" t="s">
        <v>1268</v>
      </c>
      <c r="I115" s="901">
        <f>+'Ciudad Conectada'!Z13</f>
        <v>0.28000000000000003</v>
      </c>
      <c r="J115" s="869" t="s">
        <v>560</v>
      </c>
      <c r="K115" s="873" t="s">
        <v>2004</v>
      </c>
      <c r="P115"/>
    </row>
    <row r="116" spans="1:16" ht="29.4" thickBot="1" x14ac:dyDescent="0.35">
      <c r="A116" s="869" t="s">
        <v>2025</v>
      </c>
      <c r="B116" s="871">
        <f>'[1]PLAN DE DESARROLLO 2024 - 2027'!$K$123</f>
        <v>0.26239975735212717</v>
      </c>
      <c r="C116" s="869" t="s">
        <v>2049</v>
      </c>
      <c r="D116" s="872">
        <f>'[1]PLAN DE DESARROLLO 2024 - 2027'!$K$124</f>
        <v>0.27085566891891893</v>
      </c>
      <c r="E116" s="869" t="s">
        <v>1803</v>
      </c>
      <c r="F116" s="872">
        <f>'[1]PLAN DE DESARROLLO 2024 - 2027'!$K$125</f>
        <v>0.2578125</v>
      </c>
      <c r="G116" s="869" t="s">
        <v>808</v>
      </c>
      <c r="H116" s="869" t="s">
        <v>1269</v>
      </c>
      <c r="I116" s="901">
        <f>+'Ciudad Conectada'!Z14</f>
        <v>0.23166666666666666</v>
      </c>
      <c r="J116" s="869" t="s">
        <v>560</v>
      </c>
      <c r="K116" s="873" t="s">
        <v>2004</v>
      </c>
      <c r="P116"/>
    </row>
    <row r="117" spans="1:16" ht="43.8" thickBot="1" x14ac:dyDescent="0.35">
      <c r="A117" s="869" t="s">
        <v>2025</v>
      </c>
      <c r="B117" s="871">
        <f>'[1]PLAN DE DESARROLLO 2024 - 2027'!$K$123</f>
        <v>0.26239975735212717</v>
      </c>
      <c r="C117" s="869" t="s">
        <v>2049</v>
      </c>
      <c r="D117" s="872">
        <f>'[1]PLAN DE DESARROLLO 2024 - 2027'!$K$124</f>
        <v>0.27085566891891893</v>
      </c>
      <c r="E117" s="869" t="s">
        <v>1803</v>
      </c>
      <c r="F117" s="872">
        <f>'[1]PLAN DE DESARROLLO 2024 - 2027'!$K$125</f>
        <v>0.2578125</v>
      </c>
      <c r="G117" s="869" t="s">
        <v>809</v>
      </c>
      <c r="H117" s="869" t="s">
        <v>1270</v>
      </c>
      <c r="I117" s="901">
        <f>+'Ciudad Conectada'!Z15</f>
        <v>0.2</v>
      </c>
      <c r="J117" s="869" t="s">
        <v>560</v>
      </c>
      <c r="K117" s="873" t="s">
        <v>2004</v>
      </c>
      <c r="P117"/>
    </row>
    <row r="118" spans="1:16" ht="29.4" thickBot="1" x14ac:dyDescent="0.35">
      <c r="A118" s="869" t="s">
        <v>2025</v>
      </c>
      <c r="B118" s="871">
        <f>'[1]PLAN DE DESARROLLO 2024 - 2027'!$K$123</f>
        <v>0.26239975735212717</v>
      </c>
      <c r="C118" s="869" t="s">
        <v>2049</v>
      </c>
      <c r="D118" s="872">
        <f>'[1]PLAN DE DESARROLLO 2024 - 2027'!$K$124</f>
        <v>0.27085566891891893</v>
      </c>
      <c r="E118" s="869" t="s">
        <v>1803</v>
      </c>
      <c r="F118" s="872">
        <f>'[1]PLAN DE DESARROLLO 2024 - 2027'!$K$125</f>
        <v>0.2578125</v>
      </c>
      <c r="G118" s="869" t="s">
        <v>810</v>
      </c>
      <c r="H118" s="869" t="s">
        <v>1271</v>
      </c>
      <c r="I118" s="901">
        <f>+'Ciudad Conectada'!Z16</f>
        <v>0.2</v>
      </c>
      <c r="J118" s="869" t="s">
        <v>2035</v>
      </c>
      <c r="K118" s="873" t="s">
        <v>2004</v>
      </c>
      <c r="P118"/>
    </row>
    <row r="119" spans="1:16" ht="29.4" thickBot="1" x14ac:dyDescent="0.35">
      <c r="A119" s="869" t="s">
        <v>2025</v>
      </c>
      <c r="B119" s="871">
        <f>'[1]PLAN DE DESARROLLO 2024 - 2027'!$K$123</f>
        <v>0.26239975735212717</v>
      </c>
      <c r="C119" s="869" t="s">
        <v>2049</v>
      </c>
      <c r="D119" s="872">
        <f>'[1]PLAN DE DESARROLLO 2024 - 2027'!$K$124</f>
        <v>0.27085566891891893</v>
      </c>
      <c r="E119" s="869" t="s">
        <v>1803</v>
      </c>
      <c r="F119" s="872">
        <f>'[1]PLAN DE DESARROLLO 2024 - 2027'!$K$125</f>
        <v>0.2578125</v>
      </c>
      <c r="G119" s="869" t="s">
        <v>812</v>
      </c>
      <c r="H119" s="869" t="s">
        <v>1272</v>
      </c>
      <c r="I119" s="901">
        <f>+'Ciudad Conectada'!Z17</f>
        <v>0.5</v>
      </c>
      <c r="J119" s="869" t="s">
        <v>2035</v>
      </c>
      <c r="K119" s="873" t="s">
        <v>2004</v>
      </c>
      <c r="P119"/>
    </row>
    <row r="120" spans="1:16" ht="29.4" thickBot="1" x14ac:dyDescent="0.35">
      <c r="A120" s="869" t="s">
        <v>2025</v>
      </c>
      <c r="B120" s="871">
        <f>'[1]PLAN DE DESARROLLO 2024 - 2027'!$K$123</f>
        <v>0.26239975735212717</v>
      </c>
      <c r="C120" s="869" t="s">
        <v>2049</v>
      </c>
      <c r="D120" s="872">
        <f>'[1]PLAN DE DESARROLLO 2024 - 2027'!$K$124</f>
        <v>0.27085566891891893</v>
      </c>
      <c r="E120" s="869" t="s">
        <v>1803</v>
      </c>
      <c r="F120" s="872">
        <f>'[1]PLAN DE DESARROLLO 2024 - 2027'!$K$125</f>
        <v>0.2578125</v>
      </c>
      <c r="G120" s="869" t="s">
        <v>813</v>
      </c>
      <c r="H120" s="869" t="s">
        <v>1273</v>
      </c>
      <c r="I120" s="901">
        <f>+'Ciudad Conectada'!Z18</f>
        <v>0.43000000000000005</v>
      </c>
      <c r="J120" s="869" t="s">
        <v>2035</v>
      </c>
      <c r="K120" s="873" t="s">
        <v>2004</v>
      </c>
      <c r="P120"/>
    </row>
    <row r="121" spans="1:16" ht="43.8" thickBot="1" x14ac:dyDescent="0.35">
      <c r="A121" s="869" t="s">
        <v>2025</v>
      </c>
      <c r="B121" s="871">
        <f>'[1]PLAN DE DESARROLLO 2024 - 2027'!$K$123</f>
        <v>0.26239975735212717</v>
      </c>
      <c r="C121" s="869" t="s">
        <v>2049</v>
      </c>
      <c r="D121" s="872">
        <f>'[1]PLAN DE DESARROLLO 2024 - 2027'!$K$124</f>
        <v>0.27085566891891893</v>
      </c>
      <c r="E121" s="869" t="s">
        <v>1803</v>
      </c>
      <c r="F121" s="872">
        <f>'[1]PLAN DE DESARROLLO 2024 - 2027'!$K$125</f>
        <v>0.2578125</v>
      </c>
      <c r="G121" s="869" t="s">
        <v>814</v>
      </c>
      <c r="H121" s="869" t="s">
        <v>1274</v>
      </c>
      <c r="I121" s="902">
        <f>+'Ciudad Conectada'!Z19</f>
        <v>0.6</v>
      </c>
      <c r="J121" s="869" t="s">
        <v>2035</v>
      </c>
      <c r="K121" s="873" t="s">
        <v>2004</v>
      </c>
      <c r="P121"/>
    </row>
    <row r="122" spans="1:16" ht="43.8" thickBot="1" x14ac:dyDescent="0.35">
      <c r="A122" s="869" t="s">
        <v>2025</v>
      </c>
      <c r="B122" s="871">
        <f>'[1]PLAN DE DESARROLLO 2024 - 2027'!$K$123</f>
        <v>0.26239975735212717</v>
      </c>
      <c r="C122" s="869" t="s">
        <v>2049</v>
      </c>
      <c r="D122" s="872">
        <f>'[1]PLAN DE DESARROLLO 2024 - 2027'!$K$124</f>
        <v>0.27085566891891893</v>
      </c>
      <c r="E122" s="869" t="s">
        <v>1803</v>
      </c>
      <c r="F122" s="872">
        <f>'[1]PLAN DE DESARROLLO 2024 - 2027'!$K$125</f>
        <v>0.2578125</v>
      </c>
      <c r="G122" s="869" t="s">
        <v>815</v>
      </c>
      <c r="H122" s="869" t="s">
        <v>1275</v>
      </c>
      <c r="I122" s="902">
        <f>+'Ciudad Conectada'!Z20</f>
        <v>0.25</v>
      </c>
      <c r="J122" s="869" t="s">
        <v>560</v>
      </c>
      <c r="K122" s="873" t="s">
        <v>2004</v>
      </c>
      <c r="P122"/>
    </row>
    <row r="123" spans="1:16" ht="24.6" customHeight="1" thickBot="1" x14ac:dyDescent="0.35">
      <c r="A123" s="869" t="s">
        <v>2025</v>
      </c>
      <c r="B123" s="871">
        <f>'[1]PLAN DE DESARROLLO 2024 - 2027'!$K$123</f>
        <v>0.26239975735212717</v>
      </c>
      <c r="C123" s="869" t="s">
        <v>2049</v>
      </c>
      <c r="D123" s="872">
        <f>'[1]PLAN DE DESARROLLO 2024 - 2027'!$K$124</f>
        <v>0.27085566891891893</v>
      </c>
      <c r="E123" s="869" t="s">
        <v>1803</v>
      </c>
      <c r="F123" s="872">
        <f>'[1]PLAN DE DESARROLLO 2024 - 2027'!$K$125</f>
        <v>0.2578125</v>
      </c>
      <c r="G123" s="869" t="s">
        <v>816</v>
      </c>
      <c r="H123" s="869" t="s">
        <v>1276</v>
      </c>
      <c r="I123" s="902">
        <f>+'Ciudad Conectada'!Z21</f>
        <v>0</v>
      </c>
      <c r="J123" s="869" t="s">
        <v>560</v>
      </c>
      <c r="K123" s="873" t="s">
        <v>2004</v>
      </c>
      <c r="P123"/>
    </row>
    <row r="124" spans="1:16" ht="29.4" thickBot="1" x14ac:dyDescent="0.35">
      <c r="A124" s="869" t="s">
        <v>2025</v>
      </c>
      <c r="B124" s="871">
        <f>'[1]PLAN DE DESARROLLO 2024 - 2027'!$K$123</f>
        <v>0.26239975735212717</v>
      </c>
      <c r="C124" s="869" t="s">
        <v>2049</v>
      </c>
      <c r="D124" s="872">
        <f>'[1]PLAN DE DESARROLLO 2024 - 2027'!$K$124</f>
        <v>0.27085566891891893</v>
      </c>
      <c r="E124" s="869" t="s">
        <v>2051</v>
      </c>
      <c r="F124" s="872">
        <f>'[1]PLAN DE DESARROLLO 2024 - 2027'!$K$126</f>
        <v>0.28389883783783787</v>
      </c>
      <c r="G124" s="869" t="s">
        <v>817</v>
      </c>
      <c r="H124" s="869" t="s">
        <v>1277</v>
      </c>
      <c r="I124" s="901">
        <f>+'Ciudad Conectada'!Z23</f>
        <v>1</v>
      </c>
      <c r="J124" s="869" t="s">
        <v>1540</v>
      </c>
      <c r="K124" s="873" t="s">
        <v>2004</v>
      </c>
      <c r="P124"/>
    </row>
    <row r="125" spans="1:16" ht="29.4" thickBot="1" x14ac:dyDescent="0.35">
      <c r="A125" s="869" t="s">
        <v>2025</v>
      </c>
      <c r="B125" s="871">
        <f>'[1]PLAN DE DESARROLLO 2024 - 2027'!$K$123</f>
        <v>0.26239975735212717</v>
      </c>
      <c r="C125" s="869" t="s">
        <v>2049</v>
      </c>
      <c r="D125" s="872">
        <f>'[1]PLAN DE DESARROLLO 2024 - 2027'!$K$124</f>
        <v>0.27085566891891893</v>
      </c>
      <c r="E125" s="869" t="s">
        <v>2051</v>
      </c>
      <c r="F125" s="872">
        <f>'[1]PLAN DE DESARROLLO 2024 - 2027'!$K$126</f>
        <v>0.28389883783783787</v>
      </c>
      <c r="G125" s="869" t="s">
        <v>819</v>
      </c>
      <c r="H125" s="869" t="s">
        <v>1278</v>
      </c>
      <c r="I125" s="902">
        <f>+'Ciudad Conectada'!Z24</f>
        <v>0</v>
      </c>
      <c r="J125" s="869" t="s">
        <v>1540</v>
      </c>
      <c r="K125" s="873" t="s">
        <v>2004</v>
      </c>
      <c r="P125"/>
    </row>
    <row r="126" spans="1:16" ht="29.4" thickBot="1" x14ac:dyDescent="0.35">
      <c r="A126" s="869" t="s">
        <v>2025</v>
      </c>
      <c r="B126" s="871">
        <f>'[1]PLAN DE DESARROLLO 2024 - 2027'!$K$123</f>
        <v>0.26239975735212717</v>
      </c>
      <c r="C126" s="869" t="s">
        <v>2049</v>
      </c>
      <c r="D126" s="872">
        <f>'[1]PLAN DE DESARROLLO 2024 - 2027'!$K$124</f>
        <v>0.27085566891891893</v>
      </c>
      <c r="E126" s="869" t="s">
        <v>2051</v>
      </c>
      <c r="F126" s="872">
        <f>'[1]PLAN DE DESARROLLO 2024 - 2027'!$K$126</f>
        <v>0.28389883783783787</v>
      </c>
      <c r="G126" s="869" t="s">
        <v>820</v>
      </c>
      <c r="H126" s="869" t="s">
        <v>1279</v>
      </c>
      <c r="I126" s="901">
        <f>+'Ciudad Conectada'!Z25</f>
        <v>0.73</v>
      </c>
      <c r="J126" s="869" t="s">
        <v>1540</v>
      </c>
      <c r="K126" s="873" t="s">
        <v>2004</v>
      </c>
      <c r="P126"/>
    </row>
    <row r="127" spans="1:16" ht="29.4" thickBot="1" x14ac:dyDescent="0.35">
      <c r="A127" s="869" t="s">
        <v>2025</v>
      </c>
      <c r="B127" s="871">
        <f>'[1]PLAN DE DESARROLLO 2024 - 2027'!$K$123</f>
        <v>0.26239975735212717</v>
      </c>
      <c r="C127" s="869" t="s">
        <v>2052</v>
      </c>
      <c r="D127" s="872">
        <f>'[1]PLAN DE DESARROLLO 2024 - 2027'!$K$127</f>
        <v>0.20083333333333336</v>
      </c>
      <c r="E127" s="869" t="s">
        <v>2053</v>
      </c>
      <c r="F127" s="872">
        <f>'[1]PLAN DE DESARROLLO 2024 - 2027'!$K$128</f>
        <v>0.1</v>
      </c>
      <c r="G127" s="869" t="s">
        <v>821</v>
      </c>
      <c r="H127" s="869" t="s">
        <v>1280</v>
      </c>
      <c r="I127" s="902">
        <f>+'Ciudad Conectada'!Z28</f>
        <v>0.4</v>
      </c>
      <c r="J127" s="869" t="s">
        <v>560</v>
      </c>
      <c r="K127" s="873" t="s">
        <v>2004</v>
      </c>
      <c r="P127"/>
    </row>
    <row r="128" spans="1:16" ht="29.4" thickBot="1" x14ac:dyDescent="0.35">
      <c r="A128" s="869" t="s">
        <v>2025</v>
      </c>
      <c r="B128" s="871">
        <f>'[1]PLAN DE DESARROLLO 2024 - 2027'!$K$123</f>
        <v>0.26239975735212717</v>
      </c>
      <c r="C128" s="869" t="s">
        <v>2052</v>
      </c>
      <c r="D128" s="872">
        <f>'[1]PLAN DE DESARROLLO 2024 - 2027'!$K$127</f>
        <v>0.20083333333333336</v>
      </c>
      <c r="E128" s="869" t="s">
        <v>2053</v>
      </c>
      <c r="F128" s="872">
        <f>'[1]PLAN DE DESARROLLO 2024 - 2027'!$K$128</f>
        <v>0.1</v>
      </c>
      <c r="G128" s="869" t="s">
        <v>822</v>
      </c>
      <c r="H128" s="869" t="s">
        <v>1281</v>
      </c>
      <c r="I128" s="902">
        <f>+'Ciudad Conectada'!Z29</f>
        <v>0.5</v>
      </c>
      <c r="J128" s="869" t="s">
        <v>560</v>
      </c>
      <c r="K128" s="873" t="s">
        <v>2004</v>
      </c>
      <c r="P128"/>
    </row>
    <row r="129" spans="1:16" ht="29.4" thickBot="1" x14ac:dyDescent="0.35">
      <c r="A129" s="869" t="s">
        <v>2025</v>
      </c>
      <c r="B129" s="871">
        <f>'[1]PLAN DE DESARROLLO 2024 - 2027'!$K$123</f>
        <v>0.26239975735212717</v>
      </c>
      <c r="C129" s="869" t="s">
        <v>2052</v>
      </c>
      <c r="D129" s="872">
        <f>'[1]PLAN DE DESARROLLO 2024 - 2027'!$K$127</f>
        <v>0.20083333333333336</v>
      </c>
      <c r="E129" s="869" t="s">
        <v>2053</v>
      </c>
      <c r="F129" s="872">
        <f>'[1]PLAN DE DESARROLLO 2024 - 2027'!$K$128</f>
        <v>0.1</v>
      </c>
      <c r="G129" s="869" t="s">
        <v>823</v>
      </c>
      <c r="H129" s="869" t="s">
        <v>1282</v>
      </c>
      <c r="I129" s="902">
        <f>+'Ciudad Conectada'!Z30</f>
        <v>0.5</v>
      </c>
      <c r="J129" s="869" t="s">
        <v>560</v>
      </c>
      <c r="K129" s="873" t="s">
        <v>2004</v>
      </c>
      <c r="P129"/>
    </row>
    <row r="130" spans="1:16" ht="29.4" thickBot="1" x14ac:dyDescent="0.35">
      <c r="A130" s="869" t="s">
        <v>2025</v>
      </c>
      <c r="B130" s="871">
        <f>'[1]PLAN DE DESARROLLO 2024 - 2027'!$K$123</f>
        <v>0.26239975735212717</v>
      </c>
      <c r="C130" s="869" t="s">
        <v>2052</v>
      </c>
      <c r="D130" s="872">
        <f>'[1]PLAN DE DESARROLLO 2024 - 2027'!$K$127</f>
        <v>0.20083333333333336</v>
      </c>
      <c r="E130" s="869" t="s">
        <v>2053</v>
      </c>
      <c r="F130" s="872">
        <f>'[1]PLAN DE DESARROLLO 2024 - 2027'!$K$128</f>
        <v>0.1</v>
      </c>
      <c r="G130" s="869" t="s">
        <v>824</v>
      </c>
      <c r="H130" s="869" t="s">
        <v>1283</v>
      </c>
      <c r="I130" s="901">
        <f>+'Ciudad Conectada'!Z31</f>
        <v>0.5</v>
      </c>
      <c r="J130" s="869" t="s">
        <v>825</v>
      </c>
      <c r="K130" s="873" t="s">
        <v>2004</v>
      </c>
      <c r="P130"/>
    </row>
    <row r="131" spans="1:16" ht="29.4" thickBot="1" x14ac:dyDescent="0.35">
      <c r="A131" s="869" t="s">
        <v>2025</v>
      </c>
      <c r="B131" s="871">
        <f>'[1]PLAN DE DESARROLLO 2024 - 2027'!$K$123</f>
        <v>0.26239975735212717</v>
      </c>
      <c r="C131" s="869" t="s">
        <v>2052</v>
      </c>
      <c r="D131" s="872">
        <f>'[1]PLAN DE DESARROLLO 2024 - 2027'!$K$127</f>
        <v>0.20083333333333336</v>
      </c>
      <c r="E131" s="869" t="s">
        <v>2053</v>
      </c>
      <c r="F131" s="872">
        <f>'[1]PLAN DE DESARROLLO 2024 - 2027'!$K$128</f>
        <v>0.1</v>
      </c>
      <c r="G131" s="869" t="s">
        <v>826</v>
      </c>
      <c r="H131" s="869" t="s">
        <v>1284</v>
      </c>
      <c r="I131" s="902">
        <f>+'Ciudad Conectada'!Z32</f>
        <v>0</v>
      </c>
      <c r="J131" s="869" t="s">
        <v>560</v>
      </c>
      <c r="K131" s="873" t="s">
        <v>2004</v>
      </c>
      <c r="P131"/>
    </row>
    <row r="132" spans="1:16" ht="44.4" customHeight="1" thickBot="1" x14ac:dyDescent="0.35">
      <c r="A132" s="869" t="s">
        <v>2025</v>
      </c>
      <c r="B132" s="871">
        <f>'[1]PLAN DE DESARROLLO 2024 - 2027'!$K$123</f>
        <v>0.26239975735212717</v>
      </c>
      <c r="C132" s="869" t="s">
        <v>2052</v>
      </c>
      <c r="D132" s="872">
        <f>'[1]PLAN DE DESARROLLO 2024 - 2027'!$K$127</f>
        <v>0.20083333333333336</v>
      </c>
      <c r="E132" s="869" t="s">
        <v>2054</v>
      </c>
      <c r="F132" s="872">
        <f>'[1]PLAN DE DESARROLLO 2024 - 2027'!$K$129</f>
        <v>0.30166666666666669</v>
      </c>
      <c r="G132" s="869" t="s">
        <v>827</v>
      </c>
      <c r="H132" s="869" t="s">
        <v>1285</v>
      </c>
      <c r="I132" s="901">
        <f>+'Ciudad Conectada'!Z34</f>
        <v>0.50928571428571423</v>
      </c>
      <c r="J132" s="869" t="s">
        <v>560</v>
      </c>
      <c r="K132" s="873" t="s">
        <v>2004</v>
      </c>
      <c r="P132"/>
    </row>
    <row r="133" spans="1:16" ht="29.4" thickBot="1" x14ac:dyDescent="0.35">
      <c r="A133" s="869" t="s">
        <v>2025</v>
      </c>
      <c r="B133" s="871">
        <f>'[1]PLAN DE DESARROLLO 2024 - 2027'!$K$123</f>
        <v>0.26239975735212717</v>
      </c>
      <c r="C133" s="869" t="s">
        <v>2052</v>
      </c>
      <c r="D133" s="872">
        <f>'[1]PLAN DE DESARROLLO 2024 - 2027'!$K$127</f>
        <v>0.20083333333333336</v>
      </c>
      <c r="E133" s="869" t="s">
        <v>2054</v>
      </c>
      <c r="F133" s="872">
        <f>'[1]PLAN DE DESARROLLO 2024 - 2027'!$K$129</f>
        <v>0.30166666666666669</v>
      </c>
      <c r="G133" s="869" t="s">
        <v>828</v>
      </c>
      <c r="H133" s="869" t="s">
        <v>1286</v>
      </c>
      <c r="I133" s="902">
        <f>+'Ciudad Conectada'!Z35</f>
        <v>0</v>
      </c>
      <c r="J133" s="869" t="s">
        <v>560</v>
      </c>
      <c r="K133" s="873" t="s">
        <v>2004</v>
      </c>
      <c r="P133"/>
    </row>
    <row r="134" spans="1:16" ht="29.4" thickBot="1" x14ac:dyDescent="0.35">
      <c r="A134" s="869" t="s">
        <v>2025</v>
      </c>
      <c r="B134" s="871">
        <f>'[1]PLAN DE DESARROLLO 2024 - 2027'!$K$123</f>
        <v>0.26239975735212717</v>
      </c>
      <c r="C134" s="869" t="s">
        <v>2052</v>
      </c>
      <c r="D134" s="872">
        <f>'[1]PLAN DE DESARROLLO 2024 - 2027'!$K$127</f>
        <v>0.20083333333333336</v>
      </c>
      <c r="E134" s="869" t="s">
        <v>2054</v>
      </c>
      <c r="F134" s="872">
        <f>'[1]PLAN DE DESARROLLO 2024 - 2027'!$K$129</f>
        <v>0.30166666666666669</v>
      </c>
      <c r="G134" s="869" t="s">
        <v>829</v>
      </c>
      <c r="H134" s="869" t="s">
        <v>1287</v>
      </c>
      <c r="I134" s="901">
        <f>+'Ciudad Conectada'!Z36</f>
        <v>0.79374999999999996</v>
      </c>
      <c r="J134" s="869" t="s">
        <v>560</v>
      </c>
      <c r="K134" s="873" t="s">
        <v>2004</v>
      </c>
      <c r="P134"/>
    </row>
    <row r="135" spans="1:16" ht="43.8" thickBot="1" x14ac:dyDescent="0.35">
      <c r="A135" s="869" t="s">
        <v>2025</v>
      </c>
      <c r="B135" s="871">
        <f>'[1]PLAN DE DESARROLLO 2024 - 2027'!$K$123</f>
        <v>0.26239975735212717</v>
      </c>
      <c r="C135" s="869" t="s">
        <v>2055</v>
      </c>
      <c r="D135" s="871">
        <f>'[1]PLAN DE DESARROLLO 2024 - 2027'!$K$130</f>
        <v>0.15049988888888891</v>
      </c>
      <c r="E135" s="869" t="s">
        <v>2056</v>
      </c>
      <c r="F135" s="872">
        <f>'[1]PLAN DE DESARROLLO 2024 - 2027'!$K$131</f>
        <v>0.12639999999999998</v>
      </c>
      <c r="G135" s="869" t="s">
        <v>830</v>
      </c>
      <c r="H135" s="869" t="s">
        <v>1288</v>
      </c>
      <c r="I135" s="901">
        <f>+'Ciudad Conectada'!Z39</f>
        <v>0.5</v>
      </c>
      <c r="J135" s="869" t="s">
        <v>767</v>
      </c>
      <c r="K135" s="873" t="s">
        <v>2004</v>
      </c>
      <c r="P135"/>
    </row>
    <row r="136" spans="1:16" ht="29.4" thickBot="1" x14ac:dyDescent="0.35">
      <c r="A136" s="869" t="s">
        <v>2025</v>
      </c>
      <c r="B136" s="871">
        <f>'[1]PLAN DE DESARROLLO 2024 - 2027'!$K$123</f>
        <v>0.26239975735212717</v>
      </c>
      <c r="C136" s="869" t="s">
        <v>2055</v>
      </c>
      <c r="D136" s="871">
        <f>'[1]PLAN DE DESARROLLO 2024 - 2027'!$K$130</f>
        <v>0.15049988888888891</v>
      </c>
      <c r="E136" s="869" t="s">
        <v>2056</v>
      </c>
      <c r="F136" s="872">
        <f>'[1]PLAN DE DESARROLLO 2024 - 2027'!$K$131</f>
        <v>0.12639999999999998</v>
      </c>
      <c r="G136" s="869" t="s">
        <v>831</v>
      </c>
      <c r="H136" s="869" t="s">
        <v>1289</v>
      </c>
      <c r="I136" s="901">
        <f>+'Ciudad Conectada'!Z40</f>
        <v>0.2262875</v>
      </c>
      <c r="J136" s="869" t="s">
        <v>767</v>
      </c>
      <c r="K136" s="873" t="s">
        <v>2004</v>
      </c>
      <c r="P136"/>
    </row>
    <row r="137" spans="1:16" ht="29.4" thickBot="1" x14ac:dyDescent="0.35">
      <c r="A137" s="869" t="s">
        <v>2025</v>
      </c>
      <c r="B137" s="871">
        <f>'[1]PLAN DE DESARROLLO 2024 - 2027'!$K$123</f>
        <v>0.26239975735212717</v>
      </c>
      <c r="C137" s="869" t="s">
        <v>2055</v>
      </c>
      <c r="D137" s="871">
        <f>'[1]PLAN DE DESARROLLO 2024 - 2027'!$K$130</f>
        <v>0.15049988888888891</v>
      </c>
      <c r="E137" s="869" t="s">
        <v>2056</v>
      </c>
      <c r="F137" s="872">
        <f>'[1]PLAN DE DESARROLLO 2024 - 2027'!$K$131</f>
        <v>0.12639999999999998</v>
      </c>
      <c r="G137" s="869" t="s">
        <v>832</v>
      </c>
      <c r="H137" s="869" t="s">
        <v>1290</v>
      </c>
      <c r="I137" s="902">
        <f>+'Ciudad Conectada'!Z41</f>
        <v>0.33333333333333331</v>
      </c>
      <c r="J137" s="869" t="s">
        <v>767</v>
      </c>
      <c r="K137" s="873" t="s">
        <v>2004</v>
      </c>
      <c r="P137"/>
    </row>
    <row r="138" spans="1:16" ht="15" thickBot="1" x14ac:dyDescent="0.35">
      <c r="A138" s="869" t="s">
        <v>2025</v>
      </c>
      <c r="B138" s="871">
        <f>'[1]PLAN DE DESARROLLO 2024 - 2027'!$K$123</f>
        <v>0.26239975735212717</v>
      </c>
      <c r="C138" s="869" t="s">
        <v>2055</v>
      </c>
      <c r="D138" s="871">
        <f>'[1]PLAN DE DESARROLLO 2024 - 2027'!$K$130</f>
        <v>0.15049988888888891</v>
      </c>
      <c r="E138" s="869" t="s">
        <v>2056</v>
      </c>
      <c r="F138" s="872">
        <f>'[1]PLAN DE DESARROLLO 2024 - 2027'!$K$131</f>
        <v>0.12639999999999998</v>
      </c>
      <c r="G138" s="869" t="s">
        <v>833</v>
      </c>
      <c r="H138" s="869" t="s">
        <v>1291</v>
      </c>
      <c r="I138" s="902">
        <f>+'Ciudad Conectada'!Z42</f>
        <v>0</v>
      </c>
      <c r="J138" s="869" t="s">
        <v>767</v>
      </c>
      <c r="K138" s="873" t="s">
        <v>2004</v>
      </c>
      <c r="P138"/>
    </row>
    <row r="139" spans="1:16" ht="29.4" thickBot="1" x14ac:dyDescent="0.35">
      <c r="A139" s="869" t="s">
        <v>2025</v>
      </c>
      <c r="B139" s="871">
        <f>'[1]PLAN DE DESARROLLO 2024 - 2027'!$K$123</f>
        <v>0.26239975735212717</v>
      </c>
      <c r="C139" s="869" t="s">
        <v>2055</v>
      </c>
      <c r="D139" s="871">
        <f>'[1]PLAN DE DESARROLLO 2024 - 2027'!$K$130</f>
        <v>0.15049988888888891</v>
      </c>
      <c r="E139" s="869" t="s">
        <v>2056</v>
      </c>
      <c r="F139" s="872">
        <f>'[1]PLAN DE DESARROLLO 2024 - 2027'!$K$131</f>
        <v>0.12639999999999998</v>
      </c>
      <c r="G139" s="869" t="s">
        <v>834</v>
      </c>
      <c r="H139" s="869" t="s">
        <v>1292</v>
      </c>
      <c r="I139" s="902">
        <f>+'Ciudad Conectada'!Z43</f>
        <v>0</v>
      </c>
      <c r="J139" s="869" t="s">
        <v>767</v>
      </c>
      <c r="K139" s="873" t="s">
        <v>2004</v>
      </c>
      <c r="P139"/>
    </row>
    <row r="140" spans="1:16" ht="29.4" thickBot="1" x14ac:dyDescent="0.35">
      <c r="A140" s="869" t="s">
        <v>2025</v>
      </c>
      <c r="B140" s="871">
        <f>'[1]PLAN DE DESARROLLO 2024 - 2027'!$K$123</f>
        <v>0.26239975735212717</v>
      </c>
      <c r="C140" s="869" t="s">
        <v>2055</v>
      </c>
      <c r="D140" s="871">
        <f>'[1]PLAN DE DESARROLLO 2024 - 2027'!$K$130</f>
        <v>0.15049988888888891</v>
      </c>
      <c r="E140" s="869" t="s">
        <v>2056</v>
      </c>
      <c r="F140" s="872">
        <f>'[1]PLAN DE DESARROLLO 2024 - 2027'!$K$131</f>
        <v>0.12639999999999998</v>
      </c>
      <c r="G140" s="869" t="s">
        <v>835</v>
      </c>
      <c r="H140" s="869" t="s">
        <v>1293</v>
      </c>
      <c r="I140" s="902">
        <f>+'Ciudad Conectada'!Z44</f>
        <v>0</v>
      </c>
      <c r="J140" s="869" t="s">
        <v>2057</v>
      </c>
      <c r="K140" s="873" t="s">
        <v>2004</v>
      </c>
      <c r="P140"/>
    </row>
    <row r="141" spans="1:16" ht="29.4" thickBot="1" x14ac:dyDescent="0.35">
      <c r="A141" s="869" t="s">
        <v>2025</v>
      </c>
      <c r="B141" s="871">
        <f>'[1]PLAN DE DESARROLLO 2024 - 2027'!$K$123</f>
        <v>0.26239975735212717</v>
      </c>
      <c r="C141" s="869" t="s">
        <v>2055</v>
      </c>
      <c r="D141" s="871">
        <f>'[1]PLAN DE DESARROLLO 2024 - 2027'!$K$130</f>
        <v>0.15049988888888891</v>
      </c>
      <c r="E141" s="869" t="s">
        <v>2056</v>
      </c>
      <c r="F141" s="872">
        <f>'[1]PLAN DE DESARROLLO 2024 - 2027'!$K$131</f>
        <v>0.12639999999999998</v>
      </c>
      <c r="G141" s="869" t="s">
        <v>837</v>
      </c>
      <c r="H141" s="869" t="s">
        <v>1294</v>
      </c>
      <c r="I141" s="901">
        <f>+'Ciudad Conectada'!Z45</f>
        <v>1</v>
      </c>
      <c r="J141" s="869" t="s">
        <v>2058</v>
      </c>
      <c r="K141" s="873" t="s">
        <v>2004</v>
      </c>
      <c r="P141"/>
    </row>
    <row r="142" spans="1:16" ht="34.200000000000003" customHeight="1" thickBot="1" x14ac:dyDescent="0.35">
      <c r="A142" s="869" t="s">
        <v>2025</v>
      </c>
      <c r="B142" s="871">
        <f>'[1]PLAN DE DESARROLLO 2024 - 2027'!$K$123</f>
        <v>0.26239975735212717</v>
      </c>
      <c r="C142" s="869" t="s">
        <v>2055</v>
      </c>
      <c r="D142" s="871">
        <f>'[1]PLAN DE DESARROLLO 2024 - 2027'!$K$130</f>
        <v>0.15049988888888891</v>
      </c>
      <c r="E142" s="869" t="s">
        <v>2059</v>
      </c>
      <c r="F142" s="872">
        <f>'[1]PLAN DE DESARROLLO 2024 - 2027'!$K$132</f>
        <v>0.10897444444444444</v>
      </c>
      <c r="G142" s="869" t="s">
        <v>839</v>
      </c>
      <c r="H142" s="869" t="s">
        <v>1295</v>
      </c>
      <c r="I142" s="901">
        <f>+'Ciudad Conectada'!Z47</f>
        <v>4.4683333333333332E-2</v>
      </c>
      <c r="J142" s="869" t="s">
        <v>698</v>
      </c>
      <c r="K142" s="873" t="s">
        <v>2004</v>
      </c>
      <c r="P142"/>
    </row>
    <row r="143" spans="1:16" ht="33" customHeight="1" thickBot="1" x14ac:dyDescent="0.35">
      <c r="A143" s="869" t="s">
        <v>2025</v>
      </c>
      <c r="B143" s="871">
        <f>'[1]PLAN DE DESARROLLO 2024 - 2027'!$K$123</f>
        <v>0.26239975735212717</v>
      </c>
      <c r="C143" s="869" t="s">
        <v>2055</v>
      </c>
      <c r="D143" s="871">
        <f>'[1]PLAN DE DESARROLLO 2024 - 2027'!$K$130</f>
        <v>0.15049988888888891</v>
      </c>
      <c r="E143" s="869" t="s">
        <v>2059</v>
      </c>
      <c r="F143" s="872">
        <f>'[1]PLAN DE DESARROLLO 2024 - 2027'!$K$132</f>
        <v>0.10897444444444444</v>
      </c>
      <c r="G143" s="869" t="s">
        <v>840</v>
      </c>
      <c r="H143" s="869" t="s">
        <v>1296</v>
      </c>
      <c r="I143" s="901">
        <f>+'Ciudad Conectada'!Z48</f>
        <v>0.87124999999999997</v>
      </c>
      <c r="J143" s="869" t="s">
        <v>698</v>
      </c>
      <c r="K143" s="873" t="s">
        <v>2004</v>
      </c>
      <c r="P143"/>
    </row>
    <row r="144" spans="1:16" ht="29.4" thickBot="1" x14ac:dyDescent="0.35">
      <c r="A144" s="869" t="s">
        <v>2025</v>
      </c>
      <c r="B144" s="871">
        <f>'[1]PLAN DE DESARROLLO 2024 - 2027'!$K$123</f>
        <v>0.26239975735212717</v>
      </c>
      <c r="C144" s="869" t="s">
        <v>2055</v>
      </c>
      <c r="D144" s="871">
        <f>'[1]PLAN DE DESARROLLO 2024 - 2027'!$K$130</f>
        <v>0.15049988888888891</v>
      </c>
      <c r="E144" s="869" t="s">
        <v>2059</v>
      </c>
      <c r="F144" s="872">
        <f>'[1]PLAN DE DESARROLLO 2024 - 2027'!$K$132</f>
        <v>0.10897444444444444</v>
      </c>
      <c r="G144" s="869" t="s">
        <v>841</v>
      </c>
      <c r="H144" s="869" t="s">
        <v>1297</v>
      </c>
      <c r="I144" s="901">
        <f>+'Ciudad Conectada'!Z49</f>
        <v>0.22499999999999998</v>
      </c>
      <c r="J144" s="869" t="s">
        <v>698</v>
      </c>
      <c r="K144" s="873" t="s">
        <v>2004</v>
      </c>
      <c r="P144"/>
    </row>
    <row r="145" spans="1:16" ht="29.4" thickBot="1" x14ac:dyDescent="0.35">
      <c r="A145" s="869" t="s">
        <v>2025</v>
      </c>
      <c r="B145" s="871">
        <f>'[1]PLAN DE DESARROLLO 2024 - 2027'!$K$123</f>
        <v>0.26239975735212717</v>
      </c>
      <c r="C145" s="869" t="s">
        <v>2055</v>
      </c>
      <c r="D145" s="871">
        <f>'[1]PLAN DE DESARROLLO 2024 - 2027'!$K$130</f>
        <v>0.15049988888888891</v>
      </c>
      <c r="E145" s="869" t="s">
        <v>2060</v>
      </c>
      <c r="F145" s="872">
        <f>'[1]PLAN DE DESARROLLO 2024 - 2027'!$K$133</f>
        <v>0.16750000000000001</v>
      </c>
      <c r="G145" s="869" t="s">
        <v>842</v>
      </c>
      <c r="H145" s="869" t="s">
        <v>1298</v>
      </c>
      <c r="I145" s="901">
        <f>+'Ciudad Conectada'!Z51</f>
        <v>0.4</v>
      </c>
      <c r="J145" s="869" t="s">
        <v>698</v>
      </c>
      <c r="K145" s="873" t="s">
        <v>2004</v>
      </c>
      <c r="P145"/>
    </row>
    <row r="146" spans="1:16" ht="29.4" thickBot="1" x14ac:dyDescent="0.35">
      <c r="A146" s="869" t="s">
        <v>2025</v>
      </c>
      <c r="B146" s="871">
        <f>'[1]PLAN DE DESARROLLO 2024 - 2027'!$K$123</f>
        <v>0.26239975735212717</v>
      </c>
      <c r="C146" s="869" t="s">
        <v>2055</v>
      </c>
      <c r="D146" s="871">
        <f>'[1]PLAN DE DESARROLLO 2024 - 2027'!$K$130</f>
        <v>0.15049988888888891</v>
      </c>
      <c r="E146" s="869" t="s">
        <v>2060</v>
      </c>
      <c r="F146" s="872">
        <f>'[1]PLAN DE DESARROLLO 2024 - 2027'!$K$133</f>
        <v>0.16750000000000001</v>
      </c>
      <c r="G146" s="869" t="s">
        <v>843</v>
      </c>
      <c r="H146" s="869" t="s">
        <v>1299</v>
      </c>
      <c r="I146" s="901">
        <f>+'Ciudad Conectada'!Z52</f>
        <v>0.3</v>
      </c>
      <c r="J146" s="869" t="s">
        <v>698</v>
      </c>
      <c r="K146" s="873" t="s">
        <v>2004</v>
      </c>
      <c r="P146"/>
    </row>
    <row r="147" spans="1:16" ht="29.4" thickBot="1" x14ac:dyDescent="0.35">
      <c r="A147" s="869" t="s">
        <v>2025</v>
      </c>
      <c r="B147" s="871">
        <f>'[1]PLAN DE DESARROLLO 2024 - 2027'!$K$123</f>
        <v>0.26239975735212717</v>
      </c>
      <c r="C147" s="869" t="s">
        <v>2055</v>
      </c>
      <c r="D147" s="871">
        <f>'[1]PLAN DE DESARROLLO 2024 - 2027'!$K$130</f>
        <v>0.15049988888888891</v>
      </c>
      <c r="E147" s="869" t="s">
        <v>2061</v>
      </c>
      <c r="F147" s="872">
        <f>'[1]PLAN DE DESARROLLO 2024 - 2027'!$K$134</f>
        <v>0.26629166666666665</v>
      </c>
      <c r="G147" s="869" t="s">
        <v>844</v>
      </c>
      <c r="H147" s="869" t="s">
        <v>1871</v>
      </c>
      <c r="I147" s="901">
        <f>+'Ciudad Conectada'!Z54</f>
        <v>0.4</v>
      </c>
      <c r="J147" s="869" t="s">
        <v>698</v>
      </c>
      <c r="K147" s="873" t="s">
        <v>2004</v>
      </c>
      <c r="P147"/>
    </row>
    <row r="148" spans="1:16" ht="29.4" thickBot="1" x14ac:dyDescent="0.35">
      <c r="A148" s="869" t="s">
        <v>2025</v>
      </c>
      <c r="B148" s="871">
        <f>'[1]PLAN DE DESARROLLO 2024 - 2027'!$K$123</f>
        <v>0.26239975735212717</v>
      </c>
      <c r="C148" s="869" t="s">
        <v>2055</v>
      </c>
      <c r="D148" s="871">
        <f>'[1]PLAN DE DESARROLLO 2024 - 2027'!$K$130</f>
        <v>0.15049988888888891</v>
      </c>
      <c r="E148" s="869" t="s">
        <v>2061</v>
      </c>
      <c r="F148" s="872">
        <f>'[1]PLAN DE DESARROLLO 2024 - 2027'!$K$134</f>
        <v>0.26629166666666665</v>
      </c>
      <c r="G148" s="869" t="s">
        <v>845</v>
      </c>
      <c r="H148" s="869" t="s">
        <v>1300</v>
      </c>
      <c r="I148" s="901">
        <f>+'Ciudad Conectada'!Z55</f>
        <v>0.48959999999999998</v>
      </c>
      <c r="J148" s="869" t="s">
        <v>698</v>
      </c>
      <c r="K148" s="873" t="s">
        <v>2004</v>
      </c>
      <c r="P148"/>
    </row>
    <row r="149" spans="1:16" ht="15" thickBot="1" x14ac:dyDescent="0.35">
      <c r="A149" s="869" t="s">
        <v>2025</v>
      </c>
      <c r="B149" s="871">
        <f>'[1]PLAN DE DESARROLLO 2024 - 2027'!$K$123</f>
        <v>0.26239975735212717</v>
      </c>
      <c r="C149" s="869" t="s">
        <v>2055</v>
      </c>
      <c r="D149" s="871">
        <f>'[1]PLAN DE DESARROLLO 2024 - 2027'!$K$130</f>
        <v>0.15049988888888891</v>
      </c>
      <c r="E149" s="869" t="s">
        <v>2061</v>
      </c>
      <c r="F149" s="872">
        <f>'[1]PLAN DE DESARROLLO 2024 - 2027'!$K$134</f>
        <v>0.26629166666666665</v>
      </c>
      <c r="G149" s="869" t="s">
        <v>846</v>
      </c>
      <c r="H149" s="869" t="s">
        <v>1301</v>
      </c>
      <c r="I149" s="901">
        <f>+'Ciudad Conectada'!Z56</f>
        <v>1</v>
      </c>
      <c r="J149" s="869" t="s">
        <v>698</v>
      </c>
      <c r="K149" s="873" t="s">
        <v>2004</v>
      </c>
      <c r="P149"/>
    </row>
    <row r="150" spans="1:16" ht="29.4" thickBot="1" x14ac:dyDescent="0.35">
      <c r="A150" s="869" t="s">
        <v>2025</v>
      </c>
      <c r="B150" s="871">
        <f>'[1]PLAN DE DESARROLLO 2024 - 2027'!$K$123</f>
        <v>0.26239975735212717</v>
      </c>
      <c r="C150" s="869" t="s">
        <v>2055</v>
      </c>
      <c r="D150" s="871">
        <f>'[1]PLAN DE DESARROLLO 2024 - 2027'!$K$130</f>
        <v>0.15049988888888891</v>
      </c>
      <c r="E150" s="869" t="s">
        <v>1806</v>
      </c>
      <c r="F150" s="872">
        <f>'[1]PLAN DE DESARROLLO 2024 - 2027'!$K$135</f>
        <v>8.3333333333333329E-2</v>
      </c>
      <c r="G150" s="869" t="s">
        <v>847</v>
      </c>
      <c r="H150" s="869" t="s">
        <v>1302</v>
      </c>
      <c r="I150" s="902">
        <f>+'Ciudad Conectada'!Z58</f>
        <v>0.341916</v>
      </c>
      <c r="J150" s="869" t="s">
        <v>1540</v>
      </c>
      <c r="K150" s="873" t="s">
        <v>2004</v>
      </c>
      <c r="P150"/>
    </row>
    <row r="151" spans="1:16" ht="29.4" thickBot="1" x14ac:dyDescent="0.35">
      <c r="A151" s="869" t="s">
        <v>2025</v>
      </c>
      <c r="B151" s="871">
        <f>'[1]PLAN DE DESARROLLO 2024 - 2027'!$K$123</f>
        <v>0.26239975735212717</v>
      </c>
      <c r="C151" s="869" t="s">
        <v>2055</v>
      </c>
      <c r="D151" s="871">
        <f>'[1]PLAN DE DESARROLLO 2024 - 2027'!$K$130</f>
        <v>0.15049988888888891</v>
      </c>
      <c r="E151" s="869" t="s">
        <v>1806</v>
      </c>
      <c r="F151" s="872">
        <f>'[1]PLAN DE DESARROLLO 2024 - 2027'!$K$135</f>
        <v>8.3333333333333329E-2</v>
      </c>
      <c r="G151" s="869" t="s">
        <v>848</v>
      </c>
      <c r="H151" s="869" t="s">
        <v>1303</v>
      </c>
      <c r="I151" s="901">
        <f>+'Ciudad Conectada'!Z59</f>
        <v>8.3333333333333329E-2</v>
      </c>
      <c r="J151" s="869" t="s">
        <v>1540</v>
      </c>
      <c r="K151" s="873" t="s">
        <v>2004</v>
      </c>
      <c r="P151"/>
    </row>
    <row r="152" spans="1:16" ht="29.4" thickBot="1" x14ac:dyDescent="0.35">
      <c r="A152" s="869" t="s">
        <v>2025</v>
      </c>
      <c r="B152" s="871">
        <f>'[1]PLAN DE DESARROLLO 2024 - 2027'!$K$123</f>
        <v>0.26239975735212717</v>
      </c>
      <c r="C152" s="869" t="s">
        <v>2062</v>
      </c>
      <c r="D152" s="872">
        <f>'[1]PLAN DE DESARROLLO 2024 - 2027'!$K$136</f>
        <v>0.41110360120264539</v>
      </c>
      <c r="E152" s="869" t="s">
        <v>1808</v>
      </c>
      <c r="F152" s="872">
        <f>'[1]PLAN DE DESARROLLO 2024 - 2027'!$K$137</f>
        <v>0.32500000000000001</v>
      </c>
      <c r="G152" s="869" t="s">
        <v>849</v>
      </c>
      <c r="H152" s="869" t="s">
        <v>1304</v>
      </c>
      <c r="I152" s="901">
        <f>+'Ciudad Conectada'!Z62</f>
        <v>0.6333333333333333</v>
      </c>
      <c r="J152" s="869" t="s">
        <v>698</v>
      </c>
      <c r="K152" s="873" t="s">
        <v>2004</v>
      </c>
      <c r="P152"/>
    </row>
    <row r="153" spans="1:16" ht="29.4" thickBot="1" x14ac:dyDescent="0.35">
      <c r="A153" s="869" t="s">
        <v>2025</v>
      </c>
      <c r="B153" s="871">
        <f>'[1]PLAN DE DESARROLLO 2024 - 2027'!$K$123</f>
        <v>0.26239975735212717</v>
      </c>
      <c r="C153" s="869" t="s">
        <v>2062</v>
      </c>
      <c r="D153" s="872">
        <f>'[1]PLAN DE DESARROLLO 2024 - 2027'!$K$136</f>
        <v>0.41110360120264539</v>
      </c>
      <c r="E153" s="869" t="s">
        <v>1808</v>
      </c>
      <c r="F153" s="872">
        <f>'[1]PLAN DE DESARROLLO 2024 - 2027'!$K$137</f>
        <v>0.32500000000000001</v>
      </c>
      <c r="G153" s="869" t="s">
        <v>850</v>
      </c>
      <c r="H153" s="869" t="s">
        <v>1305</v>
      </c>
      <c r="I153" s="902">
        <f>+'Ciudad Conectada'!Z63</f>
        <v>0.25</v>
      </c>
      <c r="J153" s="869" t="s">
        <v>2063</v>
      </c>
      <c r="K153" s="873" t="s">
        <v>2004</v>
      </c>
      <c r="P153"/>
    </row>
    <row r="154" spans="1:16" ht="29.4" thickBot="1" x14ac:dyDescent="0.35">
      <c r="A154" s="869" t="s">
        <v>2025</v>
      </c>
      <c r="B154" s="871">
        <f>'[1]PLAN DE DESARROLLO 2024 - 2027'!$K$123</f>
        <v>0.26239975735212717</v>
      </c>
      <c r="C154" s="869" t="s">
        <v>2062</v>
      </c>
      <c r="D154" s="872">
        <f>'[1]PLAN DE DESARROLLO 2024 - 2027'!$K$136</f>
        <v>0.41110360120264539</v>
      </c>
      <c r="E154" s="869" t="s">
        <v>2064</v>
      </c>
      <c r="F154" s="872">
        <f>'[1]PLAN DE DESARROLLO 2024 - 2027'!$K$138</f>
        <v>0.3529810606060606</v>
      </c>
      <c r="G154" s="869" t="s">
        <v>851</v>
      </c>
      <c r="H154" s="869" t="s">
        <v>1306</v>
      </c>
      <c r="I154" s="901">
        <f>+'Ciudad Conectada'!Z65</f>
        <v>1</v>
      </c>
      <c r="J154" s="869" t="s">
        <v>852</v>
      </c>
      <c r="K154" s="873" t="s">
        <v>2004</v>
      </c>
      <c r="P154"/>
    </row>
    <row r="155" spans="1:16" ht="29.4" thickBot="1" x14ac:dyDescent="0.35">
      <c r="A155" s="869" t="s">
        <v>2025</v>
      </c>
      <c r="B155" s="871">
        <f>'[1]PLAN DE DESARROLLO 2024 - 2027'!$K$123</f>
        <v>0.26239975735212717</v>
      </c>
      <c r="C155" s="869" t="s">
        <v>2062</v>
      </c>
      <c r="D155" s="872">
        <f>'[1]PLAN DE DESARROLLO 2024 - 2027'!$K$136</f>
        <v>0.41110360120264539</v>
      </c>
      <c r="E155" s="869" t="s">
        <v>2064</v>
      </c>
      <c r="F155" s="872">
        <f>'[1]PLAN DE DESARROLLO 2024 - 2027'!$K$138</f>
        <v>0.3529810606060606</v>
      </c>
      <c r="G155" s="869" t="s">
        <v>853</v>
      </c>
      <c r="H155" s="869" t="s">
        <v>1307</v>
      </c>
      <c r="I155" s="901">
        <f>+'Ciudad Conectada'!Z66</f>
        <v>0.5</v>
      </c>
      <c r="J155" s="869" t="s">
        <v>2065</v>
      </c>
      <c r="K155" s="873" t="s">
        <v>2004</v>
      </c>
      <c r="P155"/>
    </row>
    <row r="156" spans="1:16" ht="29.4" thickBot="1" x14ac:dyDescent="0.35">
      <c r="A156" s="869" t="s">
        <v>2025</v>
      </c>
      <c r="B156" s="871">
        <f>'[1]PLAN DE DESARROLLO 2024 - 2027'!$K$123</f>
        <v>0.26239975735212717</v>
      </c>
      <c r="C156" s="869" t="s">
        <v>2062</v>
      </c>
      <c r="D156" s="872">
        <f>'[1]PLAN DE DESARROLLO 2024 - 2027'!$K$136</f>
        <v>0.41110360120264539</v>
      </c>
      <c r="E156" s="869" t="s">
        <v>2064</v>
      </c>
      <c r="F156" s="872">
        <f>'[1]PLAN DE DESARROLLO 2024 - 2027'!$K$138</f>
        <v>0.3529810606060606</v>
      </c>
      <c r="G156" s="869" t="s">
        <v>854</v>
      </c>
      <c r="H156" s="869" t="s">
        <v>1308</v>
      </c>
      <c r="I156" s="901">
        <f>+'Ciudad Conectada'!Z67</f>
        <v>0.54545454545454541</v>
      </c>
      <c r="J156" s="869" t="s">
        <v>852</v>
      </c>
      <c r="K156" s="873" t="s">
        <v>2004</v>
      </c>
      <c r="P156"/>
    </row>
    <row r="157" spans="1:16" ht="29.4" thickBot="1" x14ac:dyDescent="0.35">
      <c r="A157" s="869" t="s">
        <v>2025</v>
      </c>
      <c r="B157" s="871">
        <f>'[1]PLAN DE DESARROLLO 2024 - 2027'!$K$123</f>
        <v>0.26239975735212717</v>
      </c>
      <c r="C157" s="869" t="s">
        <v>2062</v>
      </c>
      <c r="D157" s="872">
        <f>'[1]PLAN DE DESARROLLO 2024 - 2027'!$K$136</f>
        <v>0.41110360120264539</v>
      </c>
      <c r="E157" s="869" t="s">
        <v>2064</v>
      </c>
      <c r="F157" s="872">
        <f>'[1]PLAN DE DESARROLLO 2024 - 2027'!$K$138</f>
        <v>0.3529810606060606</v>
      </c>
      <c r="G157" s="869" t="s">
        <v>855</v>
      </c>
      <c r="H157" s="869" t="s">
        <v>1309</v>
      </c>
      <c r="I157" s="901">
        <f>+'Ciudad Conectada'!Z68</f>
        <v>0.67</v>
      </c>
      <c r="J157" s="869" t="s">
        <v>852</v>
      </c>
      <c r="K157" s="873" t="s">
        <v>2004</v>
      </c>
      <c r="P157"/>
    </row>
    <row r="158" spans="1:16" ht="29.4" thickBot="1" x14ac:dyDescent="0.35">
      <c r="A158" s="869" t="s">
        <v>2025</v>
      </c>
      <c r="B158" s="871">
        <f>'[1]PLAN DE DESARROLLO 2024 - 2027'!$K$123</f>
        <v>0.26239975735212717</v>
      </c>
      <c r="C158" s="869" t="s">
        <v>2062</v>
      </c>
      <c r="D158" s="872">
        <f>'[1]PLAN DE DESARROLLO 2024 - 2027'!$K$136</f>
        <v>0.41110360120264539</v>
      </c>
      <c r="E158" s="869" t="s">
        <v>1809</v>
      </c>
      <c r="F158" s="872">
        <f>'[1]PLAN DE DESARROLLO 2024 - 2027'!$K$138</f>
        <v>0.3529810606060606</v>
      </c>
      <c r="G158" s="869" t="s">
        <v>856</v>
      </c>
      <c r="H158" s="869" t="s">
        <v>1310</v>
      </c>
      <c r="I158" s="901">
        <f>+'Ciudad Conectada'!Z70</f>
        <v>0.56521739130434778</v>
      </c>
      <c r="J158" s="869" t="s">
        <v>2066</v>
      </c>
      <c r="K158" s="873" t="s">
        <v>2004</v>
      </c>
      <c r="P158"/>
    </row>
    <row r="159" spans="1:16" ht="29.4" thickBot="1" x14ac:dyDescent="0.35">
      <c r="A159" s="869" t="s">
        <v>2025</v>
      </c>
      <c r="B159" s="871">
        <f>'[1]PLAN DE DESARROLLO 2024 - 2027'!$K$123</f>
        <v>0.26239975735212717</v>
      </c>
      <c r="C159" s="869" t="s">
        <v>2062</v>
      </c>
      <c r="D159" s="872">
        <f>'[1]PLAN DE DESARROLLO 2024 - 2027'!$K$136</f>
        <v>0.41110360120264539</v>
      </c>
      <c r="E159" s="869" t="s">
        <v>1809</v>
      </c>
      <c r="F159" s="872">
        <f>'[1]PLAN DE DESARROLLO 2024 - 2027'!$K$138</f>
        <v>0.3529810606060606</v>
      </c>
      <c r="G159" s="869" t="s">
        <v>857</v>
      </c>
      <c r="H159" s="869" t="s">
        <v>1311</v>
      </c>
      <c r="I159" s="901">
        <f>+'Ciudad Conectada'!Z71</f>
        <v>1</v>
      </c>
      <c r="J159" s="869" t="s">
        <v>852</v>
      </c>
      <c r="K159" s="873" t="s">
        <v>2004</v>
      </c>
      <c r="P159"/>
    </row>
    <row r="160" spans="1:16" ht="29.4" thickBot="1" x14ac:dyDescent="0.35">
      <c r="A160" s="869" t="s">
        <v>2025</v>
      </c>
      <c r="B160" s="871">
        <f>'[1]PLAN DE DESARROLLO 2024 - 2027'!$K$123</f>
        <v>0.26239975735212717</v>
      </c>
      <c r="C160" s="869" t="s">
        <v>2062</v>
      </c>
      <c r="D160" s="872">
        <f>'[1]PLAN DE DESARROLLO 2024 - 2027'!$K$136</f>
        <v>0.41110360120264539</v>
      </c>
      <c r="E160" s="869" t="s">
        <v>1809</v>
      </c>
      <c r="F160" s="872">
        <f>'[1]PLAN DE DESARROLLO 2024 - 2027'!$K$138</f>
        <v>0.3529810606060606</v>
      </c>
      <c r="G160" s="869" t="s">
        <v>858</v>
      </c>
      <c r="H160" s="869" t="s">
        <v>1312</v>
      </c>
      <c r="I160" s="901">
        <f>+'Ciudad Conectada'!Z72</f>
        <v>0.66666666666666663</v>
      </c>
      <c r="J160" s="869" t="s">
        <v>825</v>
      </c>
      <c r="K160" s="873" t="s">
        <v>2004</v>
      </c>
      <c r="P160"/>
    </row>
    <row r="161" spans="1:16" ht="29.4" thickBot="1" x14ac:dyDescent="0.35">
      <c r="A161" s="869" t="s">
        <v>2025</v>
      </c>
      <c r="B161" s="871">
        <f>'[1]PLAN DE DESARROLLO 2024 - 2027'!$K$123</f>
        <v>0.26239975735212717</v>
      </c>
      <c r="C161" s="869" t="s">
        <v>2062</v>
      </c>
      <c r="D161" s="872">
        <f>'[1]PLAN DE DESARROLLO 2024 - 2027'!$K$136</f>
        <v>0.41110360120264539</v>
      </c>
      <c r="E161" s="869" t="s">
        <v>2067</v>
      </c>
      <c r="F161" s="872">
        <f>'[1]PLAN DE DESARROLLO 2024 - 2027'!$K$140</f>
        <v>0.42712068965517241</v>
      </c>
      <c r="G161" s="869" t="s">
        <v>859</v>
      </c>
      <c r="H161" s="869" t="s">
        <v>1313</v>
      </c>
      <c r="I161" s="901">
        <f>+'Ciudad Conectada'!Z74</f>
        <v>1</v>
      </c>
      <c r="J161" s="869" t="s">
        <v>852</v>
      </c>
      <c r="K161" s="873" t="s">
        <v>2004</v>
      </c>
      <c r="P161"/>
    </row>
    <row r="162" spans="1:16" ht="29.4" thickBot="1" x14ac:dyDescent="0.35">
      <c r="A162" s="869" t="s">
        <v>2025</v>
      </c>
      <c r="B162" s="871">
        <f>'[1]PLAN DE DESARROLLO 2024 - 2027'!$K$123</f>
        <v>0.26239975735212717</v>
      </c>
      <c r="C162" s="869" t="s">
        <v>2062</v>
      </c>
      <c r="D162" s="872">
        <f>'[1]PLAN DE DESARROLLO 2024 - 2027'!$K$136</f>
        <v>0.41110360120264539</v>
      </c>
      <c r="E162" s="869" t="s">
        <v>2067</v>
      </c>
      <c r="F162" s="872">
        <f>'[1]PLAN DE DESARROLLO 2024 - 2027'!$K$140</f>
        <v>0.42712068965517241</v>
      </c>
      <c r="G162" s="869" t="s">
        <v>860</v>
      </c>
      <c r="H162" s="869" t="s">
        <v>1314</v>
      </c>
      <c r="I162" s="901">
        <f>+'Ciudad Conectada'!Z75</f>
        <v>0.34899999999999998</v>
      </c>
      <c r="J162" s="869" t="s">
        <v>852</v>
      </c>
      <c r="K162" s="873" t="s">
        <v>2004</v>
      </c>
      <c r="P162"/>
    </row>
    <row r="163" spans="1:16" ht="43.8" thickBot="1" x14ac:dyDescent="0.35">
      <c r="A163" s="869" t="s">
        <v>2025</v>
      </c>
      <c r="B163" s="871">
        <f>'[1]PLAN DE DESARROLLO 2024 - 2027'!$K$123</f>
        <v>0.26239975735212717</v>
      </c>
      <c r="C163" s="869" t="s">
        <v>2062</v>
      </c>
      <c r="D163" s="872">
        <f>'[1]PLAN DE DESARROLLO 2024 - 2027'!$K$136</f>
        <v>0.41110360120264539</v>
      </c>
      <c r="E163" s="869" t="s">
        <v>2067</v>
      </c>
      <c r="F163" s="872">
        <f>'[1]PLAN DE DESARROLLO 2024 - 2027'!$K$140</f>
        <v>0.42712068965517241</v>
      </c>
      <c r="G163" s="869" t="s">
        <v>861</v>
      </c>
      <c r="H163" s="869" t="s">
        <v>1315</v>
      </c>
      <c r="I163" s="901">
        <f>+'Ciudad Conectada'!Z76</f>
        <v>0.83568965517241378</v>
      </c>
      <c r="J163" s="869" t="s">
        <v>852</v>
      </c>
      <c r="K163" s="873" t="s">
        <v>2004</v>
      </c>
      <c r="P163"/>
    </row>
    <row r="164" spans="1:16" ht="29.4" thickBot="1" x14ac:dyDescent="0.35">
      <c r="A164" s="869" t="s">
        <v>2025</v>
      </c>
      <c r="B164" s="871">
        <f>'[1]PLAN DE DESARROLLO 2024 - 2027'!$K$123</f>
        <v>0.26239975735212717</v>
      </c>
      <c r="C164" s="869" t="s">
        <v>2062</v>
      </c>
      <c r="D164" s="872">
        <f>'[1]PLAN DE DESARROLLO 2024 - 2027'!$K$136</f>
        <v>0.41110360120264539</v>
      </c>
      <c r="E164" s="869" t="s">
        <v>1810</v>
      </c>
      <c r="F164" s="872">
        <f>'[1]PLAN DE DESARROLLO 2024 - 2027'!$K$141</f>
        <v>0.14285714285714285</v>
      </c>
      <c r="G164" s="869" t="s">
        <v>862</v>
      </c>
      <c r="H164" s="869" t="s">
        <v>1316</v>
      </c>
      <c r="I164" s="901">
        <f>+'Ciudad Conectada'!Z78</f>
        <v>0.2857142857142857</v>
      </c>
      <c r="J164" s="869" t="s">
        <v>863</v>
      </c>
      <c r="K164" s="873" t="s">
        <v>2004</v>
      </c>
      <c r="P164"/>
    </row>
    <row r="165" spans="1:16" ht="29.4" thickBot="1" x14ac:dyDescent="0.35">
      <c r="A165" s="869" t="s">
        <v>2025</v>
      </c>
      <c r="B165" s="871">
        <f>'[1]PLAN DE DESARROLLO 2024 - 2027'!$K$123</f>
        <v>0.26239975735212717</v>
      </c>
      <c r="C165" s="869" t="s">
        <v>2062</v>
      </c>
      <c r="D165" s="872">
        <f>'[1]PLAN DE DESARROLLO 2024 - 2027'!$K$136</f>
        <v>0.41110360120264539</v>
      </c>
      <c r="E165" s="869" t="s">
        <v>2068</v>
      </c>
      <c r="F165" s="872">
        <f>'[1]PLAN DE DESARROLLO 2024 - 2027'!$K$142</f>
        <v>0.63500000000000001</v>
      </c>
      <c r="G165" s="869" t="s">
        <v>864</v>
      </c>
      <c r="H165" s="869" t="s">
        <v>1317</v>
      </c>
      <c r="I165" s="901">
        <f>+'Ciudad Conectada'!Z80</f>
        <v>0.41</v>
      </c>
      <c r="J165" s="869" t="s">
        <v>2069</v>
      </c>
      <c r="K165" s="873" t="s">
        <v>2004</v>
      </c>
      <c r="P165"/>
    </row>
    <row r="166" spans="1:16" ht="29.4" thickBot="1" x14ac:dyDescent="0.35">
      <c r="A166" s="869" t="s">
        <v>2025</v>
      </c>
      <c r="B166" s="871">
        <f>'[1]PLAN DE DESARROLLO 2024 - 2027'!$K$123</f>
        <v>0.26239975735212717</v>
      </c>
      <c r="C166" s="869" t="s">
        <v>2062</v>
      </c>
      <c r="D166" s="872">
        <f>'[1]PLAN DE DESARROLLO 2024 - 2027'!$K$136</f>
        <v>0.41110360120264539</v>
      </c>
      <c r="E166" s="869" t="s">
        <v>2068</v>
      </c>
      <c r="F166" s="872">
        <f>'[1]PLAN DE DESARROLLO 2024 - 2027'!$K$142</f>
        <v>0.63500000000000001</v>
      </c>
      <c r="G166" s="869" t="s">
        <v>865</v>
      </c>
      <c r="H166" s="869" t="s">
        <v>1318</v>
      </c>
      <c r="I166" s="901">
        <f>+'Ciudad Conectada'!Z81</f>
        <v>1</v>
      </c>
      <c r="J166" s="869" t="s">
        <v>1540</v>
      </c>
      <c r="K166" s="873" t="s">
        <v>2004</v>
      </c>
      <c r="P166"/>
    </row>
    <row r="167" spans="1:16" ht="43.8" thickBot="1" x14ac:dyDescent="0.35">
      <c r="A167" s="869" t="s">
        <v>2025</v>
      </c>
      <c r="B167" s="871">
        <f>'[1]PLAN DE DESARROLLO 2024 - 2027'!$K$123</f>
        <v>0.26239975735212717</v>
      </c>
      <c r="C167" s="869" t="s">
        <v>2026</v>
      </c>
      <c r="D167" s="871">
        <f>'[1]PLAN DE DESARROLLO 2024 - 2027'!$K$143</f>
        <v>0.16314336734693877</v>
      </c>
      <c r="E167" s="869" t="s">
        <v>2070</v>
      </c>
      <c r="F167" s="872">
        <f>'[1]PLAN DE DESARROLLO 2024 - 2027'!$K$144</f>
        <v>9.4430102040816324E-2</v>
      </c>
      <c r="G167" s="869" t="s">
        <v>866</v>
      </c>
      <c r="H167" s="869" t="s">
        <v>1319</v>
      </c>
      <c r="I167" s="901">
        <f>+'Ciudad Conectada'!Z84</f>
        <v>0.37</v>
      </c>
      <c r="J167" s="869" t="s">
        <v>2071</v>
      </c>
      <c r="K167" s="873" t="s">
        <v>2004</v>
      </c>
      <c r="P167"/>
    </row>
    <row r="168" spans="1:16" ht="29.4" thickBot="1" x14ac:dyDescent="0.35">
      <c r="A168" s="869" t="s">
        <v>2025</v>
      </c>
      <c r="B168" s="871">
        <f>'[1]PLAN DE DESARROLLO 2024 - 2027'!$K$123</f>
        <v>0.26239975735212717</v>
      </c>
      <c r="C168" s="869" t="s">
        <v>2026</v>
      </c>
      <c r="D168" s="871">
        <f>'[1]PLAN DE DESARROLLO 2024 - 2027'!$K$143</f>
        <v>0.16314336734693877</v>
      </c>
      <c r="E168" s="869" t="s">
        <v>2070</v>
      </c>
      <c r="F168" s="872">
        <f>'[1]PLAN DE DESARROLLO 2024 - 2027'!$K$144</f>
        <v>9.4430102040816324E-2</v>
      </c>
      <c r="G168" s="869" t="s">
        <v>868</v>
      </c>
      <c r="H168" s="869" t="s">
        <v>1320</v>
      </c>
      <c r="I168" s="901">
        <f>+'Ciudad Conectada'!Z85</f>
        <v>0.28972499999999995</v>
      </c>
      <c r="J168" s="869" t="s">
        <v>825</v>
      </c>
      <c r="K168" s="873" t="s">
        <v>2004</v>
      </c>
      <c r="P168"/>
    </row>
    <row r="169" spans="1:16" ht="29.4" thickBot="1" x14ac:dyDescent="0.35">
      <c r="A169" s="869" t="s">
        <v>2025</v>
      </c>
      <c r="B169" s="871">
        <f>'[1]PLAN DE DESARROLLO 2024 - 2027'!$K$123</f>
        <v>0.26239975735212717</v>
      </c>
      <c r="C169" s="869" t="s">
        <v>2026</v>
      </c>
      <c r="D169" s="871">
        <f>'[1]PLAN DE DESARROLLO 2024 - 2027'!$K$143</f>
        <v>0.16314336734693877</v>
      </c>
      <c r="E169" s="869" t="s">
        <v>2070</v>
      </c>
      <c r="F169" s="872">
        <f>'[1]PLAN DE DESARROLLO 2024 - 2027'!$K$144</f>
        <v>9.4430102040816324E-2</v>
      </c>
      <c r="G169" s="869" t="s">
        <v>869</v>
      </c>
      <c r="H169" s="869" t="s">
        <v>1321</v>
      </c>
      <c r="I169" s="901">
        <f>+'Ciudad Conectada'!Z86</f>
        <v>0.2</v>
      </c>
      <c r="J169" s="869" t="s">
        <v>1540</v>
      </c>
      <c r="K169" s="873" t="s">
        <v>2004</v>
      </c>
      <c r="P169"/>
    </row>
    <row r="170" spans="1:16" ht="29.4" thickBot="1" x14ac:dyDescent="0.35">
      <c r="A170" s="869" t="s">
        <v>2025</v>
      </c>
      <c r="B170" s="871">
        <f>'[1]PLAN DE DESARROLLO 2024 - 2027'!$K$123</f>
        <v>0.26239975735212717</v>
      </c>
      <c r="C170" s="869" t="s">
        <v>2026</v>
      </c>
      <c r="D170" s="871">
        <f>'[1]PLAN DE DESARROLLO 2024 - 2027'!$K$143</f>
        <v>0.16314336734693877</v>
      </c>
      <c r="E170" s="869" t="s">
        <v>2070</v>
      </c>
      <c r="F170" s="872">
        <f>'[1]PLAN DE DESARROLLO 2024 - 2027'!$K$144</f>
        <v>9.4430102040816324E-2</v>
      </c>
      <c r="G170" s="869" t="s">
        <v>870</v>
      </c>
      <c r="H170" s="869" t="s">
        <v>1322</v>
      </c>
      <c r="I170" s="901">
        <f>+'Ciudad Conectada'!Z87</f>
        <v>0.25</v>
      </c>
      <c r="J170" s="869" t="s">
        <v>2072</v>
      </c>
      <c r="K170" s="873" t="s">
        <v>2004</v>
      </c>
      <c r="P170"/>
    </row>
    <row r="171" spans="1:16" ht="29.4" thickBot="1" x14ac:dyDescent="0.35">
      <c r="A171" s="869" t="s">
        <v>2025</v>
      </c>
      <c r="B171" s="871">
        <f>'[1]PLAN DE DESARROLLO 2024 - 2027'!$K$123</f>
        <v>0.26239975735212717</v>
      </c>
      <c r="C171" s="869" t="s">
        <v>2026</v>
      </c>
      <c r="D171" s="871">
        <f>'[1]PLAN DE DESARROLLO 2024 - 2027'!$K$143</f>
        <v>0.16314336734693877</v>
      </c>
      <c r="E171" s="869" t="s">
        <v>2070</v>
      </c>
      <c r="F171" s="872">
        <f>'[1]PLAN DE DESARROLLO 2024 - 2027'!$K$144</f>
        <v>9.4430102040816324E-2</v>
      </c>
      <c r="G171" s="869" t="s">
        <v>872</v>
      </c>
      <c r="H171" s="869" t="s">
        <v>1323</v>
      </c>
      <c r="I171" s="901">
        <f>+'Ciudad Conectada'!Z88</f>
        <v>0</v>
      </c>
      <c r="J171" s="869" t="s">
        <v>2073</v>
      </c>
      <c r="K171" s="873" t="s">
        <v>2004</v>
      </c>
      <c r="P171"/>
    </row>
    <row r="172" spans="1:16" ht="58.2" thickBot="1" x14ac:dyDescent="0.35">
      <c r="A172" s="869" t="s">
        <v>2025</v>
      </c>
      <c r="B172" s="871">
        <f>'[1]PLAN DE DESARROLLO 2024 - 2027'!$K$123</f>
        <v>0.26239975735212717</v>
      </c>
      <c r="C172" s="869" t="s">
        <v>2026</v>
      </c>
      <c r="D172" s="871">
        <f>'[1]PLAN DE DESARROLLO 2024 - 2027'!$K$143</f>
        <v>0.16314336734693877</v>
      </c>
      <c r="E172" s="869" t="s">
        <v>2070</v>
      </c>
      <c r="F172" s="872">
        <f>'[1]PLAN DE DESARROLLO 2024 - 2027'!$K$144</f>
        <v>9.4430102040816324E-2</v>
      </c>
      <c r="G172" s="869" t="s">
        <v>874</v>
      </c>
      <c r="H172" s="869" t="s">
        <v>1324</v>
      </c>
      <c r="I172" s="901">
        <f>+'Ciudad Conectada'!Z89</f>
        <v>0.25</v>
      </c>
      <c r="J172" s="869" t="s">
        <v>2074</v>
      </c>
      <c r="K172" s="873" t="s">
        <v>2004</v>
      </c>
      <c r="P172"/>
    </row>
    <row r="173" spans="1:16" ht="29.4" thickBot="1" x14ac:dyDescent="0.35">
      <c r="A173" s="869" t="s">
        <v>2025</v>
      </c>
      <c r="B173" s="871">
        <f>'[1]PLAN DE DESARROLLO 2024 - 2027'!$K$123</f>
        <v>0.26239975735212717</v>
      </c>
      <c r="C173" s="869" t="s">
        <v>2026</v>
      </c>
      <c r="D173" s="871">
        <f>'[1]PLAN DE DESARROLLO 2024 - 2027'!$K$143</f>
        <v>0.16314336734693877</v>
      </c>
      <c r="E173" s="869" t="s">
        <v>2070</v>
      </c>
      <c r="F173" s="872">
        <f>'[1]PLAN DE DESARROLLO 2024 - 2027'!$K$144</f>
        <v>9.4430102040816324E-2</v>
      </c>
      <c r="G173" s="869" t="s">
        <v>876</v>
      </c>
      <c r="H173" s="869" t="s">
        <v>1325</v>
      </c>
      <c r="I173" s="901">
        <f>+'Ciudad Conectada'!Z90</f>
        <v>0.23749999999999999</v>
      </c>
      <c r="J173" s="869" t="s">
        <v>516</v>
      </c>
      <c r="K173" s="873" t="s">
        <v>2004</v>
      </c>
      <c r="P173"/>
    </row>
    <row r="174" spans="1:16" ht="29.4" thickBot="1" x14ac:dyDescent="0.35">
      <c r="A174" s="869" t="s">
        <v>2025</v>
      </c>
      <c r="B174" s="871">
        <f>'[1]PLAN DE DESARROLLO 2024 - 2027'!$K$123</f>
        <v>0.26239975735212717</v>
      </c>
      <c r="C174" s="869" t="s">
        <v>2026</v>
      </c>
      <c r="D174" s="871">
        <f>'[1]PLAN DE DESARROLLO 2024 - 2027'!$K$143</f>
        <v>0.16314336734693877</v>
      </c>
      <c r="E174" s="869" t="s">
        <v>2075</v>
      </c>
      <c r="F174" s="872">
        <f>'[1]PLAN DE DESARROLLO 2024 - 2027'!$K$146</f>
        <v>0.375</v>
      </c>
      <c r="G174" s="869" t="s">
        <v>883</v>
      </c>
      <c r="H174" s="869" t="s">
        <v>1329</v>
      </c>
      <c r="I174" s="901">
        <f>+'Ciudad Conectada'!Z96</f>
        <v>0.625</v>
      </c>
      <c r="J174" s="869" t="s">
        <v>490</v>
      </c>
      <c r="K174" s="873" t="s">
        <v>2004</v>
      </c>
      <c r="P174"/>
    </row>
    <row r="175" spans="1:16" ht="29.4" thickBot="1" x14ac:dyDescent="0.35">
      <c r="A175" s="869" t="s">
        <v>2076</v>
      </c>
      <c r="B175" s="871">
        <f>'[1]PLAN DE DESARROLLO 2024 - 2027'!$K$92</f>
        <v>0.27017707911062067</v>
      </c>
      <c r="C175" s="869" t="s">
        <v>2077</v>
      </c>
      <c r="D175" s="872">
        <f>'[1]PLAN DE DESARROLLO 2024 - 2027'!$K$105</f>
        <v>0.13440625</v>
      </c>
      <c r="E175" s="869" t="s">
        <v>1794</v>
      </c>
      <c r="F175" s="872">
        <f>'[1]PLAN DE DESARROLLO 2024 - 2027'!$K$109</f>
        <v>0</v>
      </c>
      <c r="G175" s="869" t="s">
        <v>732</v>
      </c>
      <c r="H175" s="869" t="s">
        <v>1434</v>
      </c>
      <c r="I175" s="901">
        <f>+'Desarrollo Economico'!Z65</f>
        <v>0.26833333333333331</v>
      </c>
      <c r="J175" s="869" t="s">
        <v>733</v>
      </c>
      <c r="K175" s="873" t="s">
        <v>2004</v>
      </c>
      <c r="P175"/>
    </row>
    <row r="176" spans="1:16" ht="29.4" thickBot="1" x14ac:dyDescent="0.35">
      <c r="A176" s="869" t="s">
        <v>2076</v>
      </c>
      <c r="B176" s="871">
        <f>'[1]PLAN DE DESARROLLO 2024 - 2027'!$K$92</f>
        <v>0.27017707911062067</v>
      </c>
      <c r="C176" s="869" t="s">
        <v>2077</v>
      </c>
      <c r="D176" s="872">
        <f>'[1]PLAN DE DESARROLLO 2024 - 2027'!$K$105</f>
        <v>0.13440625</v>
      </c>
      <c r="E176" s="869" t="s">
        <v>1794</v>
      </c>
      <c r="F176" s="872">
        <f>'[1]PLAN DE DESARROLLO 2024 - 2027'!$K$109</f>
        <v>0</v>
      </c>
      <c r="G176" s="869" t="s">
        <v>734</v>
      </c>
      <c r="H176" s="869" t="s">
        <v>1435</v>
      </c>
      <c r="I176" s="901">
        <f>+'Desarrollo Economico'!Z66</f>
        <v>0</v>
      </c>
      <c r="J176" s="869" t="s">
        <v>733</v>
      </c>
      <c r="K176" s="873" t="s">
        <v>2004</v>
      </c>
      <c r="P176"/>
    </row>
    <row r="177" spans="1:16" ht="29.4" thickBot="1" x14ac:dyDescent="0.35">
      <c r="A177" s="869" t="s">
        <v>2076</v>
      </c>
      <c r="B177" s="871">
        <f>'[1]PLAN DE DESARROLLO 2024 - 2027'!$K$92</f>
        <v>0.27017707911062067</v>
      </c>
      <c r="C177" s="869" t="s">
        <v>2078</v>
      </c>
      <c r="D177" s="872">
        <f>'[1]PLAN DE DESARROLLO 2024 - 2027'!$K$110</f>
        <v>0.16916666666666663</v>
      </c>
      <c r="E177" s="869" t="s">
        <v>1796</v>
      </c>
      <c r="F177" s="872">
        <f>'[1]PLAN DE DESARROLLO 2024 - 2027'!$K$111</f>
        <v>0</v>
      </c>
      <c r="G177" s="869" t="s">
        <v>735</v>
      </c>
      <c r="H177" s="869" t="s">
        <v>1436</v>
      </c>
      <c r="I177" s="901">
        <f>+'Desarrollo Economico'!Z69</f>
        <v>0.5</v>
      </c>
      <c r="J177" s="869" t="s">
        <v>736</v>
      </c>
      <c r="K177" s="873" t="s">
        <v>2004</v>
      </c>
      <c r="P177"/>
    </row>
    <row r="178" spans="1:16" ht="29.4" thickBot="1" x14ac:dyDescent="0.35">
      <c r="A178" s="869" t="s">
        <v>2076</v>
      </c>
      <c r="B178" s="871">
        <f>'[1]PLAN DE DESARROLLO 2024 - 2027'!$K$92</f>
        <v>0.27017707911062067</v>
      </c>
      <c r="C178" s="869" t="s">
        <v>2078</v>
      </c>
      <c r="D178" s="872">
        <f>'[1]PLAN DE DESARROLLO 2024 - 2027'!$K$110</f>
        <v>0.16916666666666663</v>
      </c>
      <c r="E178" s="869" t="s">
        <v>1796</v>
      </c>
      <c r="F178" s="872">
        <f>'[1]PLAN DE DESARROLLO 2024 - 2027'!$K$111</f>
        <v>0</v>
      </c>
      <c r="G178" s="869" t="s">
        <v>737</v>
      </c>
      <c r="H178" s="869" t="s">
        <v>1437</v>
      </c>
      <c r="I178" s="901">
        <f>+'Desarrollo Economico'!Z70</f>
        <v>0.33333333333333331</v>
      </c>
      <c r="J178" s="869" t="s">
        <v>736</v>
      </c>
      <c r="K178" s="873" t="s">
        <v>2004</v>
      </c>
      <c r="P178"/>
    </row>
    <row r="179" spans="1:16" ht="29.4" thickBot="1" x14ac:dyDescent="0.35">
      <c r="A179" s="869" t="s">
        <v>2076</v>
      </c>
      <c r="B179" s="871">
        <f>'[1]PLAN DE DESARROLLO 2024 - 2027'!$K$92</f>
        <v>0.27017707911062067</v>
      </c>
      <c r="C179" s="869" t="s">
        <v>2078</v>
      </c>
      <c r="D179" s="872">
        <f>'[1]PLAN DE DESARROLLO 2024 - 2027'!$K$110</f>
        <v>0.16916666666666663</v>
      </c>
      <c r="E179" s="869" t="s">
        <v>1796</v>
      </c>
      <c r="F179" s="872">
        <f>'[1]PLAN DE DESARROLLO 2024 - 2027'!$K$111</f>
        <v>0</v>
      </c>
      <c r="G179" s="869" t="s">
        <v>738</v>
      </c>
      <c r="H179" s="869" t="s">
        <v>1438</v>
      </c>
      <c r="I179" s="901">
        <f>+'Desarrollo Economico'!Z71</f>
        <v>0.3611111111111111</v>
      </c>
      <c r="J179" s="869" t="s">
        <v>736</v>
      </c>
      <c r="K179" s="873" t="s">
        <v>2004</v>
      </c>
      <c r="P179"/>
    </row>
    <row r="180" spans="1:16" ht="29.4" thickBot="1" x14ac:dyDescent="0.35">
      <c r="A180" s="869" t="s">
        <v>2076</v>
      </c>
      <c r="B180" s="871">
        <f>'[1]PLAN DE DESARROLLO 2024 - 2027'!$K$92</f>
        <v>0.27017707911062067</v>
      </c>
      <c r="C180" s="869" t="s">
        <v>2078</v>
      </c>
      <c r="D180" s="872">
        <f>'[1]PLAN DE DESARROLLO 2024 - 2027'!$K$110</f>
        <v>0.16916666666666663</v>
      </c>
      <c r="E180" s="869" t="s">
        <v>1796</v>
      </c>
      <c r="F180" s="872">
        <f>'[1]PLAN DE DESARROLLO 2024 - 2027'!$K$111</f>
        <v>0</v>
      </c>
      <c r="G180" s="869" t="s">
        <v>739</v>
      </c>
      <c r="H180" s="869" t="s">
        <v>2079</v>
      </c>
      <c r="I180" s="901">
        <f>+'Desarrollo Economico'!Z72</f>
        <v>0.41249999999999998</v>
      </c>
      <c r="J180" s="869" t="s">
        <v>736</v>
      </c>
      <c r="K180" s="873" t="s">
        <v>2004</v>
      </c>
      <c r="P180"/>
    </row>
    <row r="181" spans="1:16" ht="29.4" thickBot="1" x14ac:dyDescent="0.35">
      <c r="A181" s="869" t="s">
        <v>2076</v>
      </c>
      <c r="B181" s="871">
        <f>'[1]PLAN DE DESARROLLO 2024 - 2027'!$K$92</f>
        <v>0.27017707911062067</v>
      </c>
      <c r="C181" s="869" t="s">
        <v>2078</v>
      </c>
      <c r="D181" s="872">
        <f>'[1]PLAN DE DESARROLLO 2024 - 2027'!$K$110</f>
        <v>0.16916666666666663</v>
      </c>
      <c r="E181" s="869" t="s">
        <v>1797</v>
      </c>
      <c r="F181" s="872">
        <f>'[1]PLAN DE DESARROLLO 2024 - 2027'!$K$112</f>
        <v>0</v>
      </c>
      <c r="G181" s="869" t="s">
        <v>740</v>
      </c>
      <c r="H181" s="869" t="s">
        <v>1440</v>
      </c>
      <c r="I181" s="901">
        <f>+'Desarrollo Economico'!Z74</f>
        <v>0.43546716386989848</v>
      </c>
      <c r="J181" s="869" t="s">
        <v>736</v>
      </c>
      <c r="K181" s="873" t="s">
        <v>2004</v>
      </c>
      <c r="P181"/>
    </row>
    <row r="182" spans="1:16" ht="43.8" thickBot="1" x14ac:dyDescent="0.35">
      <c r="A182" s="869" t="s">
        <v>2076</v>
      </c>
      <c r="B182" s="871">
        <f>'[1]PLAN DE DESARROLLO 2024 - 2027'!$K$92</f>
        <v>0.27017707911062067</v>
      </c>
      <c r="C182" s="869" t="s">
        <v>2078</v>
      </c>
      <c r="D182" s="872">
        <f>'[1]PLAN DE DESARROLLO 2024 - 2027'!$K$110</f>
        <v>0.16916666666666663</v>
      </c>
      <c r="E182" s="869" t="s">
        <v>1797</v>
      </c>
      <c r="F182" s="872">
        <f>'[1]PLAN DE DESARROLLO 2024 - 2027'!$K$112</f>
        <v>0</v>
      </c>
      <c r="G182" s="869" t="s">
        <v>741</v>
      </c>
      <c r="H182" s="869" t="s">
        <v>1441</v>
      </c>
      <c r="I182" s="901">
        <f>+'Desarrollo Economico'!Z75</f>
        <v>0.45750000000000002</v>
      </c>
      <c r="J182" s="869" t="s">
        <v>736</v>
      </c>
      <c r="K182" s="873" t="s">
        <v>2004</v>
      </c>
      <c r="P182"/>
    </row>
    <row r="183" spans="1:16" ht="29.4" thickBot="1" x14ac:dyDescent="0.35">
      <c r="A183" s="869" t="s">
        <v>2076</v>
      </c>
      <c r="B183" s="871">
        <f>'[1]PLAN DE DESARROLLO 2024 - 2027'!$K$92</f>
        <v>0.27017707911062067</v>
      </c>
      <c r="C183" s="869" t="s">
        <v>2078</v>
      </c>
      <c r="D183" s="872">
        <f>'[1]PLAN DE DESARROLLO 2024 - 2027'!$K$110</f>
        <v>0.16916666666666663</v>
      </c>
      <c r="E183" s="869" t="s">
        <v>1797</v>
      </c>
      <c r="F183" s="872">
        <f>'[1]PLAN DE DESARROLLO 2024 - 2027'!$K$112</f>
        <v>0</v>
      </c>
      <c r="G183" s="869" t="s">
        <v>742</v>
      </c>
      <c r="H183" s="869" t="s">
        <v>1442</v>
      </c>
      <c r="I183" s="901">
        <f>+'Desarrollo Economico'!Z76</f>
        <v>0.5</v>
      </c>
      <c r="J183" s="869" t="s">
        <v>736</v>
      </c>
      <c r="K183" s="873" t="s">
        <v>2004</v>
      </c>
      <c r="P183"/>
    </row>
    <row r="184" spans="1:16" ht="29.4" thickBot="1" x14ac:dyDescent="0.35">
      <c r="A184" s="869" t="s">
        <v>2076</v>
      </c>
      <c r="B184" s="871">
        <f>'[1]PLAN DE DESARROLLO 2024 - 2027'!$K$92</f>
        <v>0.27017707911062067</v>
      </c>
      <c r="C184" s="869" t="s">
        <v>2078</v>
      </c>
      <c r="D184" s="872">
        <f>'[1]PLAN DE DESARROLLO 2024 - 2027'!$K$110</f>
        <v>0.16916666666666663</v>
      </c>
      <c r="E184" s="869" t="s">
        <v>1797</v>
      </c>
      <c r="F184" s="872">
        <f>'[1]PLAN DE DESARROLLO 2024 - 2027'!$K$112</f>
        <v>0</v>
      </c>
      <c r="G184" s="869" t="s">
        <v>743</v>
      </c>
      <c r="H184" s="869" t="s">
        <v>1443</v>
      </c>
      <c r="I184" s="901">
        <f>+'Desarrollo Economico'!Z77</f>
        <v>0.375</v>
      </c>
      <c r="J184" s="869" t="s">
        <v>736</v>
      </c>
      <c r="K184" s="873" t="s">
        <v>2004</v>
      </c>
      <c r="P184"/>
    </row>
    <row r="185" spans="1:16" ht="29.4" thickBot="1" x14ac:dyDescent="0.35">
      <c r="A185" s="869" t="s">
        <v>2076</v>
      </c>
      <c r="B185" s="871">
        <f>'[1]PLAN DE DESARROLLO 2024 - 2027'!$K$92</f>
        <v>0.27017707911062067</v>
      </c>
      <c r="C185" s="869" t="s">
        <v>2078</v>
      </c>
      <c r="D185" s="872">
        <f>'[1]PLAN DE DESARROLLO 2024 - 2027'!$K$110</f>
        <v>0.16916666666666663</v>
      </c>
      <c r="E185" s="869" t="s">
        <v>1797</v>
      </c>
      <c r="F185" s="872">
        <f>'[1]PLAN DE DESARROLLO 2024 - 2027'!$K$112</f>
        <v>0</v>
      </c>
      <c r="G185" s="869" t="s">
        <v>744</v>
      </c>
      <c r="H185" s="869" t="s">
        <v>1444</v>
      </c>
      <c r="I185" s="901">
        <f>+'Desarrollo Economico'!Z78</f>
        <v>0.50800000000000001</v>
      </c>
      <c r="J185" s="869" t="s">
        <v>2080</v>
      </c>
      <c r="K185" s="873" t="s">
        <v>2004</v>
      </c>
      <c r="P185"/>
    </row>
    <row r="186" spans="1:16" ht="29.4" thickBot="1" x14ac:dyDescent="0.35">
      <c r="A186" s="869" t="s">
        <v>2076</v>
      </c>
      <c r="B186" s="871">
        <f>'[1]PLAN DE DESARROLLO 2024 - 2027'!$K$92</f>
        <v>0.27017707911062067</v>
      </c>
      <c r="C186" s="869" t="s">
        <v>2078</v>
      </c>
      <c r="D186" s="872">
        <f>'[1]PLAN DE DESARROLLO 2024 - 2027'!$K$110</f>
        <v>0.16916666666666663</v>
      </c>
      <c r="E186" s="869" t="s">
        <v>1797</v>
      </c>
      <c r="F186" s="872">
        <f>'[1]PLAN DE DESARROLLO 2024 - 2027'!$K$112</f>
        <v>0</v>
      </c>
      <c r="G186" s="869" t="s">
        <v>746</v>
      </c>
      <c r="H186" s="869" t="s">
        <v>1445</v>
      </c>
      <c r="I186" s="901">
        <f>+'Desarrollo Economico'!Z79</f>
        <v>0.5</v>
      </c>
      <c r="J186" s="869" t="s">
        <v>736</v>
      </c>
      <c r="K186" s="873" t="s">
        <v>2004</v>
      </c>
      <c r="P186"/>
    </row>
    <row r="187" spans="1:16" ht="15" thickBot="1" x14ac:dyDescent="0.35">
      <c r="A187" s="869" t="s">
        <v>2076</v>
      </c>
      <c r="B187" s="871">
        <f>'[1]PLAN DE DESARROLLO 2024 - 2027'!$K$92</f>
        <v>0.27017707911062067</v>
      </c>
      <c r="C187" s="869" t="s">
        <v>2078</v>
      </c>
      <c r="D187" s="872">
        <f>'[1]PLAN DE DESARROLLO 2024 - 2027'!$K$110</f>
        <v>0.16916666666666663</v>
      </c>
      <c r="E187" s="869" t="s">
        <v>1797</v>
      </c>
      <c r="F187" s="872">
        <f>'[1]PLAN DE DESARROLLO 2024 - 2027'!$K$112</f>
        <v>0</v>
      </c>
      <c r="G187" s="869" t="s">
        <v>747</v>
      </c>
      <c r="H187" s="869" t="s">
        <v>1446</v>
      </c>
      <c r="I187" s="901">
        <f>+'Desarrollo Economico'!Z80</f>
        <v>0</v>
      </c>
      <c r="J187" s="869" t="s">
        <v>736</v>
      </c>
      <c r="K187" s="873" t="s">
        <v>2004</v>
      </c>
      <c r="P187"/>
    </row>
    <row r="188" spans="1:16" ht="29.4" thickBot="1" x14ac:dyDescent="0.35">
      <c r="A188" s="869" t="s">
        <v>2076</v>
      </c>
      <c r="B188" s="871">
        <f>'[1]PLAN DE DESARROLLO 2024 - 2027'!$K$92</f>
        <v>0.27017707911062067</v>
      </c>
      <c r="C188" s="869" t="s">
        <v>2078</v>
      </c>
      <c r="D188" s="872">
        <f>'[1]PLAN DE DESARROLLO 2024 - 2027'!$K$110</f>
        <v>0.16916666666666663</v>
      </c>
      <c r="E188" s="869" t="s">
        <v>1797</v>
      </c>
      <c r="F188" s="872">
        <f>'[1]PLAN DE DESARROLLO 2024 - 2027'!$K$112</f>
        <v>0</v>
      </c>
      <c r="G188" s="869" t="s">
        <v>748</v>
      </c>
      <c r="H188" s="869" t="s">
        <v>1447</v>
      </c>
      <c r="I188" s="901">
        <f>+'Desarrollo Economico'!Z81</f>
        <v>0</v>
      </c>
      <c r="J188" s="869" t="s">
        <v>736</v>
      </c>
      <c r="K188" s="873" t="s">
        <v>2004</v>
      </c>
      <c r="P188"/>
    </row>
    <row r="189" spans="1:16" ht="29.4" thickBot="1" x14ac:dyDescent="0.35">
      <c r="A189" s="869" t="s">
        <v>2076</v>
      </c>
      <c r="B189" s="871">
        <f>'[1]PLAN DE DESARROLLO 2024 - 2027'!$K$92</f>
        <v>0.27017707911062067</v>
      </c>
      <c r="C189" s="869" t="s">
        <v>2078</v>
      </c>
      <c r="D189" s="872">
        <f>'[1]PLAN DE DESARROLLO 2024 - 2027'!$K$110</f>
        <v>0.16916666666666663</v>
      </c>
      <c r="E189" s="869" t="s">
        <v>1797</v>
      </c>
      <c r="F189" s="872">
        <f>'[1]PLAN DE DESARROLLO 2024 - 2027'!$K$112</f>
        <v>0</v>
      </c>
      <c r="G189" s="869" t="s">
        <v>749</v>
      </c>
      <c r="H189" s="869" t="s">
        <v>1448</v>
      </c>
      <c r="I189" s="901">
        <f>+'Desarrollo Economico'!Z82</f>
        <v>1</v>
      </c>
      <c r="J189" s="869" t="s">
        <v>736</v>
      </c>
      <c r="K189" s="873" t="s">
        <v>2004</v>
      </c>
      <c r="P189"/>
    </row>
    <row r="190" spans="1:16" ht="29.4" thickBot="1" x14ac:dyDescent="0.35">
      <c r="A190" s="869" t="s">
        <v>2076</v>
      </c>
      <c r="B190" s="871">
        <f>'[1]PLAN DE DESARROLLO 2024 - 2027'!$K$92</f>
        <v>0.27017707911062067</v>
      </c>
      <c r="C190" s="869" t="s">
        <v>2078</v>
      </c>
      <c r="D190" s="872">
        <f>'[1]PLAN DE DESARROLLO 2024 - 2027'!$K$110</f>
        <v>0.16916666666666663</v>
      </c>
      <c r="E190" s="869" t="s">
        <v>1797</v>
      </c>
      <c r="F190" s="872">
        <f>'[1]PLAN DE DESARROLLO 2024 - 2027'!$K$112</f>
        <v>0</v>
      </c>
      <c r="G190" s="869" t="s">
        <v>750</v>
      </c>
      <c r="H190" s="869" t="s">
        <v>1449</v>
      </c>
      <c r="I190" s="901">
        <f>+'Desarrollo Economico'!Z83</f>
        <v>1</v>
      </c>
      <c r="J190" s="869" t="s">
        <v>736</v>
      </c>
      <c r="K190" s="873" t="s">
        <v>2004</v>
      </c>
      <c r="P190"/>
    </row>
    <row r="191" spans="1:16" ht="29.4" thickBot="1" x14ac:dyDescent="0.35">
      <c r="A191" s="869" t="s">
        <v>2076</v>
      </c>
      <c r="B191" s="871">
        <f>'[1]PLAN DE DESARROLLO 2024 - 2027'!$K$92</f>
        <v>0.27017707911062067</v>
      </c>
      <c r="C191" s="869" t="s">
        <v>2078</v>
      </c>
      <c r="D191" s="872">
        <f>'[1]PLAN DE DESARROLLO 2024 - 2027'!$K$110</f>
        <v>0.16916666666666663</v>
      </c>
      <c r="E191" s="869" t="s">
        <v>1797</v>
      </c>
      <c r="F191" s="872">
        <f>'[1]PLAN DE DESARROLLO 2024 - 2027'!$K$112</f>
        <v>0</v>
      </c>
      <c r="G191" s="869" t="s">
        <v>751</v>
      </c>
      <c r="H191" s="869" t="s">
        <v>1450</v>
      </c>
      <c r="I191" s="901">
        <f>+'Desarrollo Economico'!Z84</f>
        <v>0.4</v>
      </c>
      <c r="J191" s="869" t="s">
        <v>736</v>
      </c>
      <c r="K191" s="873" t="s">
        <v>2004</v>
      </c>
      <c r="P191"/>
    </row>
    <row r="192" spans="1:16" ht="29.4" thickBot="1" x14ac:dyDescent="0.35">
      <c r="A192" s="869" t="s">
        <v>2076</v>
      </c>
      <c r="B192" s="871">
        <f>'[1]PLAN DE DESARROLLO 2024 - 2027'!$K$92</f>
        <v>0.27017707911062067</v>
      </c>
      <c r="C192" s="869" t="s">
        <v>2078</v>
      </c>
      <c r="D192" s="872">
        <f>'[1]PLAN DE DESARROLLO 2024 - 2027'!$K$110</f>
        <v>0.16916666666666663</v>
      </c>
      <c r="E192" s="869" t="s">
        <v>1797</v>
      </c>
      <c r="F192" s="872">
        <f>'[1]PLAN DE DESARROLLO 2024 - 2027'!$K$112</f>
        <v>0</v>
      </c>
      <c r="G192" s="869" t="s">
        <v>752</v>
      </c>
      <c r="H192" s="869" t="s">
        <v>1451</v>
      </c>
      <c r="I192" s="901">
        <f>+'Desarrollo Economico'!Z85</f>
        <v>0.375</v>
      </c>
      <c r="J192" s="869" t="s">
        <v>736</v>
      </c>
      <c r="K192" s="873" t="s">
        <v>2004</v>
      </c>
      <c r="P192"/>
    </row>
    <row r="193" spans="1:16" ht="43.8" thickBot="1" x14ac:dyDescent="0.35">
      <c r="A193" s="869" t="s">
        <v>2076</v>
      </c>
      <c r="B193" s="871">
        <f>'[1]PLAN DE DESARROLLO 2024 - 2027'!$K$92</f>
        <v>0.27017707911062067</v>
      </c>
      <c r="C193" s="869" t="s">
        <v>2078</v>
      </c>
      <c r="D193" s="872">
        <f>'[1]PLAN DE DESARROLLO 2024 - 2027'!$K$110</f>
        <v>0.16916666666666663</v>
      </c>
      <c r="E193" s="869" t="s">
        <v>2081</v>
      </c>
      <c r="F193" s="872">
        <f>'[1]PLAN DE DESARROLLO 2024 - 2027'!$K$114</f>
        <v>0</v>
      </c>
      <c r="G193" s="869" t="s">
        <v>2082</v>
      </c>
      <c r="H193" s="869" t="s">
        <v>1456</v>
      </c>
      <c r="I193" s="901">
        <f>+'Desarrollo Economico'!Z92</f>
        <v>0.26111111111111113</v>
      </c>
      <c r="J193" s="869" t="s">
        <v>2083</v>
      </c>
      <c r="K193" s="873" t="s">
        <v>2004</v>
      </c>
      <c r="P193"/>
    </row>
    <row r="194" spans="1:16" ht="15" thickBot="1" x14ac:dyDescent="0.35">
      <c r="A194" s="869" t="s">
        <v>2076</v>
      </c>
      <c r="B194" s="871">
        <f>'[1]PLAN DE DESARROLLO 2024 - 2027'!$K$92</f>
        <v>0.27017707911062067</v>
      </c>
      <c r="C194" s="869" t="s">
        <v>2078</v>
      </c>
      <c r="D194" s="872">
        <f>'[1]PLAN DE DESARROLLO 2024 - 2027'!$K$110</f>
        <v>0.16916666666666663</v>
      </c>
      <c r="E194" s="869" t="s">
        <v>2081</v>
      </c>
      <c r="F194" s="872">
        <f>'[1]PLAN DE DESARROLLO 2024 - 2027'!$K$114</f>
        <v>0</v>
      </c>
      <c r="G194" s="869" t="s">
        <v>760</v>
      </c>
      <c r="H194" s="869" t="s">
        <v>1457</v>
      </c>
      <c r="I194" s="901">
        <f>+'Desarrollo Economico'!Z93</f>
        <v>0.5</v>
      </c>
      <c r="J194" s="869" t="s">
        <v>736</v>
      </c>
      <c r="K194" s="873" t="s">
        <v>2004</v>
      </c>
      <c r="P194"/>
    </row>
    <row r="195" spans="1:16" ht="29.4" thickBot="1" x14ac:dyDescent="0.35">
      <c r="A195" s="869" t="s">
        <v>2076</v>
      </c>
      <c r="B195" s="871">
        <f>'[1]PLAN DE DESARROLLO 2024 - 2027'!$K$92</f>
        <v>0.27017707911062067</v>
      </c>
      <c r="C195" s="869" t="s">
        <v>2078</v>
      </c>
      <c r="D195" s="872">
        <f>'[1]PLAN DE DESARROLLO 2024 - 2027'!$K$110</f>
        <v>0.16916666666666663</v>
      </c>
      <c r="E195" s="869" t="s">
        <v>2081</v>
      </c>
      <c r="F195" s="872">
        <f>'[1]PLAN DE DESARROLLO 2024 - 2027'!$K$114</f>
        <v>0</v>
      </c>
      <c r="G195" s="869" t="s">
        <v>761</v>
      </c>
      <c r="H195" s="869" t="s">
        <v>1458</v>
      </c>
      <c r="I195" s="901">
        <f>+'Desarrollo Economico'!Z94</f>
        <v>0.32500000000000001</v>
      </c>
      <c r="J195" s="869" t="s">
        <v>736</v>
      </c>
      <c r="K195" s="873" t="s">
        <v>2004</v>
      </c>
      <c r="P195"/>
    </row>
    <row r="196" spans="1:16" ht="43.8" thickBot="1" x14ac:dyDescent="0.35">
      <c r="A196" s="869" t="s">
        <v>2076</v>
      </c>
      <c r="B196" s="871">
        <f>'[1]PLAN DE DESARROLLO 2024 - 2027'!$K$92</f>
        <v>0.27017707911062067</v>
      </c>
      <c r="C196" s="869" t="s">
        <v>2078</v>
      </c>
      <c r="D196" s="872">
        <f>'[1]PLAN DE DESARROLLO 2024 - 2027'!$K$110</f>
        <v>0.16916666666666663</v>
      </c>
      <c r="E196" s="869" t="s">
        <v>2081</v>
      </c>
      <c r="F196" s="872">
        <f>'[1]PLAN DE DESARROLLO 2024 - 2027'!$K$114</f>
        <v>0</v>
      </c>
      <c r="G196" s="869" t="s">
        <v>762</v>
      </c>
      <c r="H196" s="869" t="s">
        <v>1459</v>
      </c>
      <c r="I196" s="901">
        <f>+'Desarrollo Economico'!Z95</f>
        <v>0.32</v>
      </c>
      <c r="J196" s="869" t="s">
        <v>736</v>
      </c>
      <c r="K196" s="873" t="s">
        <v>2004</v>
      </c>
      <c r="P196"/>
    </row>
    <row r="197" spans="1:16" ht="27.6" customHeight="1" thickBot="1" x14ac:dyDescent="0.35">
      <c r="A197" s="869" t="s">
        <v>2076</v>
      </c>
      <c r="B197" s="871">
        <f>'[1]PLAN DE DESARROLLO 2024 - 2027'!$K$92</f>
        <v>0.27017707911062067</v>
      </c>
      <c r="C197" s="869" t="s">
        <v>2084</v>
      </c>
      <c r="D197" s="872">
        <f>'[1]PLAN DE DESARROLLO 2024 - 2027'!$K$93</f>
        <v>0.3783333333333333</v>
      </c>
      <c r="E197" s="869" t="s">
        <v>2085</v>
      </c>
      <c r="F197" s="872">
        <f>'[1]PLAN DE DESARROLLO 2024 - 2027'!$K$94</f>
        <v>0.5</v>
      </c>
      <c r="G197" s="869" t="s">
        <v>681</v>
      </c>
      <c r="H197" s="869" t="s">
        <v>1390</v>
      </c>
      <c r="I197" s="901">
        <f>+'Desarrollo Economico'!Z6</f>
        <v>1</v>
      </c>
      <c r="J197" s="869" t="s">
        <v>683</v>
      </c>
      <c r="K197" s="873" t="s">
        <v>2004</v>
      </c>
      <c r="P197"/>
    </row>
    <row r="198" spans="1:16" ht="29.4" thickBot="1" x14ac:dyDescent="0.35">
      <c r="A198" s="869" t="s">
        <v>2076</v>
      </c>
      <c r="B198" s="871">
        <f>'[1]PLAN DE DESARROLLO 2024 - 2027'!$K$92</f>
        <v>0.27017707911062067</v>
      </c>
      <c r="C198" s="869" t="s">
        <v>2084</v>
      </c>
      <c r="D198" s="872">
        <f>'[1]PLAN DE DESARROLLO 2024 - 2027'!$K$93</f>
        <v>0.3783333333333333</v>
      </c>
      <c r="E198" s="869" t="s">
        <v>2085</v>
      </c>
      <c r="F198" s="872">
        <f>'[1]PLAN DE DESARROLLO 2024 - 2027'!$K$94</f>
        <v>0.5</v>
      </c>
      <c r="G198" s="869" t="s">
        <v>682</v>
      </c>
      <c r="H198" s="869" t="s">
        <v>1391</v>
      </c>
      <c r="I198" s="901">
        <f>+'Desarrollo Economico'!Z7</f>
        <v>1</v>
      </c>
      <c r="J198" s="869" t="s">
        <v>683</v>
      </c>
      <c r="K198" s="873" t="s">
        <v>2004</v>
      </c>
      <c r="P198"/>
    </row>
    <row r="199" spans="1:16" ht="58.2" thickBot="1" x14ac:dyDescent="0.35">
      <c r="A199" s="869" t="s">
        <v>2076</v>
      </c>
      <c r="B199" s="871">
        <f>'[1]PLAN DE DESARROLLO 2024 - 2027'!$K$92</f>
        <v>0.27017707911062067</v>
      </c>
      <c r="C199" s="869" t="s">
        <v>2084</v>
      </c>
      <c r="D199" s="872">
        <f>'[1]PLAN DE DESARROLLO 2024 - 2027'!$K$93</f>
        <v>0.3783333333333333</v>
      </c>
      <c r="E199" s="869" t="s">
        <v>2085</v>
      </c>
      <c r="F199" s="872">
        <f>'[1]PLAN DE DESARROLLO 2024 - 2027'!$K$94</f>
        <v>0.5</v>
      </c>
      <c r="G199" s="869" t="s">
        <v>684</v>
      </c>
      <c r="H199" s="869" t="s">
        <v>1392</v>
      </c>
      <c r="I199" s="901">
        <f>+'Desarrollo Economico'!Z8</f>
        <v>0.75</v>
      </c>
      <c r="J199" s="869" t="s">
        <v>683</v>
      </c>
      <c r="K199" s="873" t="s">
        <v>2004</v>
      </c>
      <c r="P199"/>
    </row>
    <row r="200" spans="1:16" ht="43.8" thickBot="1" x14ac:dyDescent="0.35">
      <c r="A200" s="869" t="s">
        <v>2076</v>
      </c>
      <c r="B200" s="871">
        <f>'[1]PLAN DE DESARROLLO 2024 - 2027'!$K$92</f>
        <v>0.27017707911062067</v>
      </c>
      <c r="C200" s="869" t="s">
        <v>2084</v>
      </c>
      <c r="D200" s="872">
        <f>'[1]PLAN DE DESARROLLO 2024 - 2027'!$K$93</f>
        <v>0.3783333333333333</v>
      </c>
      <c r="E200" s="869" t="s">
        <v>2085</v>
      </c>
      <c r="F200" s="872">
        <f>'[1]PLAN DE DESARROLLO 2024 - 2027'!$K$94</f>
        <v>0.5</v>
      </c>
      <c r="G200" s="869" t="s">
        <v>685</v>
      </c>
      <c r="H200" s="869" t="s">
        <v>2086</v>
      </c>
      <c r="I200" s="901">
        <f>+'Desarrollo Economico'!Z9</f>
        <v>0.5</v>
      </c>
      <c r="J200" s="869" t="s">
        <v>683</v>
      </c>
      <c r="K200" s="873" t="s">
        <v>2004</v>
      </c>
      <c r="P200"/>
    </row>
    <row r="201" spans="1:16" ht="15" thickBot="1" x14ac:dyDescent="0.35">
      <c r="A201" s="869" t="s">
        <v>2076</v>
      </c>
      <c r="B201" s="871">
        <f>'[1]PLAN DE DESARROLLO 2024 - 2027'!$K$92</f>
        <v>0.27017707911062067</v>
      </c>
      <c r="C201" s="869" t="s">
        <v>2084</v>
      </c>
      <c r="D201" s="872">
        <f>'[1]PLAN DE DESARROLLO 2024 - 2027'!$K$93</f>
        <v>0.3783333333333333</v>
      </c>
      <c r="E201" s="869" t="s">
        <v>2085</v>
      </c>
      <c r="F201" s="872">
        <f>'[1]PLAN DE DESARROLLO 2024 - 2027'!$K$94</f>
        <v>0.5</v>
      </c>
      <c r="G201" s="869" t="s">
        <v>686</v>
      </c>
      <c r="H201" s="869" t="s">
        <v>1394</v>
      </c>
      <c r="I201" s="901">
        <f>+'Desarrollo Economico'!Z10</f>
        <v>0.4</v>
      </c>
      <c r="J201" s="869" t="s">
        <v>683</v>
      </c>
      <c r="K201" s="873" t="s">
        <v>2004</v>
      </c>
      <c r="P201"/>
    </row>
    <row r="202" spans="1:16" ht="29.4" thickBot="1" x14ac:dyDescent="0.35">
      <c r="A202" s="869" t="s">
        <v>2076</v>
      </c>
      <c r="B202" s="871">
        <f>'[1]PLAN DE DESARROLLO 2024 - 2027'!$K$92</f>
        <v>0.27017707911062067</v>
      </c>
      <c r="C202" s="869" t="s">
        <v>2084</v>
      </c>
      <c r="D202" s="872">
        <f>'[1]PLAN DE DESARROLLO 2024 - 2027'!$K$93</f>
        <v>0.3783333333333333</v>
      </c>
      <c r="E202" s="869" t="s">
        <v>2087</v>
      </c>
      <c r="F202" s="872">
        <f>'[1]PLAN DE DESARROLLO 2024 - 2027'!$K$95</f>
        <v>0.25666666666666665</v>
      </c>
      <c r="G202" s="869" t="s">
        <v>687</v>
      </c>
      <c r="H202" s="869" t="s">
        <v>1395</v>
      </c>
      <c r="I202" s="901">
        <f>+'Desarrollo Economico'!Z12</f>
        <v>0.5</v>
      </c>
      <c r="J202" s="869" t="s">
        <v>683</v>
      </c>
      <c r="K202" s="873" t="s">
        <v>2004</v>
      </c>
      <c r="P202"/>
    </row>
    <row r="203" spans="1:16" ht="15" thickBot="1" x14ac:dyDescent="0.35">
      <c r="A203" s="869" t="s">
        <v>2076</v>
      </c>
      <c r="B203" s="871">
        <f>'[1]PLAN DE DESARROLLO 2024 - 2027'!$K$92</f>
        <v>0.27017707911062067</v>
      </c>
      <c r="C203" s="869" t="s">
        <v>2084</v>
      </c>
      <c r="D203" s="872">
        <f>'[1]PLAN DE DESARROLLO 2024 - 2027'!$K$93</f>
        <v>0.3783333333333333</v>
      </c>
      <c r="E203" s="869" t="s">
        <v>2087</v>
      </c>
      <c r="F203" s="872">
        <f>'[1]PLAN DE DESARROLLO 2024 - 2027'!$K$95</f>
        <v>0.25666666666666665</v>
      </c>
      <c r="G203" s="869" t="s">
        <v>688</v>
      </c>
      <c r="H203" s="869" t="s">
        <v>1396</v>
      </c>
      <c r="I203" s="901">
        <f>+'Desarrollo Economico'!Z13</f>
        <v>0.43</v>
      </c>
      <c r="J203" s="869" t="s">
        <v>683</v>
      </c>
      <c r="K203" s="873" t="s">
        <v>2004</v>
      </c>
      <c r="P203"/>
    </row>
    <row r="204" spans="1:16" ht="29.4" thickBot="1" x14ac:dyDescent="0.35">
      <c r="A204" s="869" t="s">
        <v>2076</v>
      </c>
      <c r="B204" s="871">
        <f>'[1]PLAN DE DESARROLLO 2024 - 2027'!$K$92</f>
        <v>0.27017707911062067</v>
      </c>
      <c r="C204" s="869" t="s">
        <v>2084</v>
      </c>
      <c r="D204" s="872">
        <f>'[1]PLAN DE DESARROLLO 2024 - 2027'!$K$93</f>
        <v>0.3783333333333333</v>
      </c>
      <c r="E204" s="869" t="s">
        <v>2087</v>
      </c>
      <c r="F204" s="872">
        <f>'[1]PLAN DE DESARROLLO 2024 - 2027'!$K$95</f>
        <v>0.25666666666666665</v>
      </c>
      <c r="G204" s="869" t="s">
        <v>689</v>
      </c>
      <c r="H204" s="869" t="s">
        <v>1397</v>
      </c>
      <c r="I204" s="901">
        <f>+'Desarrollo Economico'!Z14</f>
        <v>0.42500000000000004</v>
      </c>
      <c r="J204" s="869" t="s">
        <v>683</v>
      </c>
      <c r="K204" s="873" t="s">
        <v>2004</v>
      </c>
      <c r="P204"/>
    </row>
    <row r="205" spans="1:16" ht="29.4" thickBot="1" x14ac:dyDescent="0.35">
      <c r="A205" s="869" t="s">
        <v>2076</v>
      </c>
      <c r="B205" s="871">
        <f>'[1]PLAN DE DESARROLLO 2024 - 2027'!$K$92</f>
        <v>0.27017707911062067</v>
      </c>
      <c r="C205" s="869" t="s">
        <v>2088</v>
      </c>
      <c r="D205" s="872">
        <f>'[1]PLAN DE DESARROLLO 2024 - 2027'!$K$96</f>
        <v>0.36955295801526716</v>
      </c>
      <c r="E205" s="869" t="s">
        <v>2089</v>
      </c>
      <c r="F205" s="872">
        <f>'[1]PLAN DE DESARROLLO 2024 - 2027'!$K$97</f>
        <v>0.63124999999999998</v>
      </c>
      <c r="G205" s="869" t="s">
        <v>690</v>
      </c>
      <c r="H205" s="869" t="s">
        <v>1398</v>
      </c>
      <c r="I205" s="901">
        <f>+'Desarrollo Economico'!Z17</f>
        <v>0.42499999999999999</v>
      </c>
      <c r="J205" s="869" t="s">
        <v>683</v>
      </c>
      <c r="K205" s="873" t="s">
        <v>2004</v>
      </c>
      <c r="P205"/>
    </row>
    <row r="206" spans="1:16" ht="29.4" thickBot="1" x14ac:dyDescent="0.35">
      <c r="A206" s="869" t="s">
        <v>2076</v>
      </c>
      <c r="B206" s="871">
        <f>'[1]PLAN DE DESARROLLO 2024 - 2027'!$K$92</f>
        <v>0.27017707911062067</v>
      </c>
      <c r="C206" s="869" t="s">
        <v>2088</v>
      </c>
      <c r="D206" s="872">
        <f>'[1]PLAN DE DESARROLLO 2024 - 2027'!$K$96</f>
        <v>0.36955295801526716</v>
      </c>
      <c r="E206" s="869" t="s">
        <v>2089</v>
      </c>
      <c r="F206" s="872">
        <f>'[1]PLAN DE DESARROLLO 2024 - 2027'!$K$97</f>
        <v>0.63124999999999998</v>
      </c>
      <c r="G206" s="869" t="s">
        <v>691</v>
      </c>
      <c r="H206" s="869" t="s">
        <v>1399</v>
      </c>
      <c r="I206" s="901">
        <f>+'Desarrollo Economico'!Z18</f>
        <v>0.46250000000000002</v>
      </c>
      <c r="J206" s="869" t="s">
        <v>683</v>
      </c>
      <c r="K206" s="873" t="s">
        <v>2004</v>
      </c>
      <c r="P206"/>
    </row>
    <row r="207" spans="1:16" ht="29.4" thickBot="1" x14ac:dyDescent="0.35">
      <c r="A207" s="869" t="s">
        <v>2076</v>
      </c>
      <c r="B207" s="871">
        <f>'[1]PLAN DE DESARROLLO 2024 - 2027'!$K$92</f>
        <v>0.27017707911062067</v>
      </c>
      <c r="C207" s="869" t="s">
        <v>2088</v>
      </c>
      <c r="D207" s="872">
        <f>'[1]PLAN DE DESARROLLO 2024 - 2027'!$K$96</f>
        <v>0.36955295801526716</v>
      </c>
      <c r="E207" s="869" t="s">
        <v>2089</v>
      </c>
      <c r="F207" s="872">
        <f>'[1]PLAN DE DESARROLLO 2024 - 2027'!$K$97</f>
        <v>0.63124999999999998</v>
      </c>
      <c r="G207" s="869" t="s">
        <v>692</v>
      </c>
      <c r="H207" s="869" t="s">
        <v>1400</v>
      </c>
      <c r="I207" s="901">
        <f>+'Desarrollo Economico'!Z19</f>
        <v>1</v>
      </c>
      <c r="J207" s="869" t="s">
        <v>683</v>
      </c>
      <c r="K207" s="873" t="s">
        <v>2004</v>
      </c>
      <c r="P207"/>
    </row>
    <row r="208" spans="1:16" ht="29.4" thickBot="1" x14ac:dyDescent="0.35">
      <c r="A208" s="869" t="s">
        <v>2076</v>
      </c>
      <c r="B208" s="871">
        <f>'[1]PLAN DE DESARROLLO 2024 - 2027'!$K$92</f>
        <v>0.27017707911062067</v>
      </c>
      <c r="C208" s="869" t="s">
        <v>2088</v>
      </c>
      <c r="D208" s="872">
        <f>'[1]PLAN DE DESARROLLO 2024 - 2027'!$K$96</f>
        <v>0.36955295801526716</v>
      </c>
      <c r="E208" s="869" t="s">
        <v>2089</v>
      </c>
      <c r="F208" s="872">
        <f>'[1]PLAN DE DESARROLLO 2024 - 2027'!$K$97</f>
        <v>0.63124999999999998</v>
      </c>
      <c r="G208" s="869" t="s">
        <v>693</v>
      </c>
      <c r="H208" s="869" t="s">
        <v>1401</v>
      </c>
      <c r="I208" s="901">
        <f>+'Desarrollo Economico'!Z20</f>
        <v>1</v>
      </c>
      <c r="J208" s="869" t="s">
        <v>683</v>
      </c>
      <c r="K208" s="873" t="s">
        <v>2004</v>
      </c>
      <c r="P208"/>
    </row>
    <row r="209" spans="1:16" ht="29.4" thickBot="1" x14ac:dyDescent="0.35">
      <c r="A209" s="869" t="s">
        <v>2076</v>
      </c>
      <c r="B209" s="871">
        <f>'[1]PLAN DE DESARROLLO 2024 - 2027'!$K$92</f>
        <v>0.27017707911062067</v>
      </c>
      <c r="C209" s="869" t="s">
        <v>2088</v>
      </c>
      <c r="D209" s="872">
        <f>'[1]PLAN DE DESARROLLO 2024 - 2027'!$K$96</f>
        <v>0.36955295801526716</v>
      </c>
      <c r="E209" s="869" t="s">
        <v>2090</v>
      </c>
      <c r="F209" s="872">
        <f>'[1]PLAN DE DESARROLLO 2024 - 2027'!$K$98</f>
        <v>0.35496183206106868</v>
      </c>
      <c r="G209" s="869" t="s">
        <v>694</v>
      </c>
      <c r="H209" s="869" t="s">
        <v>1402</v>
      </c>
      <c r="I209" s="901">
        <f>+'Desarrollo Economico'!Z22</f>
        <v>0.68333333333333335</v>
      </c>
      <c r="J209" s="869" t="s">
        <v>516</v>
      </c>
      <c r="K209" s="873" t="s">
        <v>2004</v>
      </c>
      <c r="P209"/>
    </row>
    <row r="210" spans="1:16" ht="29.4" thickBot="1" x14ac:dyDescent="0.35">
      <c r="A210" s="869" t="s">
        <v>2076</v>
      </c>
      <c r="B210" s="871">
        <f>'[1]PLAN DE DESARROLLO 2024 - 2027'!$K$92</f>
        <v>0.27017707911062067</v>
      </c>
      <c r="C210" s="869" t="s">
        <v>2088</v>
      </c>
      <c r="D210" s="872">
        <f>'[1]PLAN DE DESARROLLO 2024 - 2027'!$K$96</f>
        <v>0.36955295801526716</v>
      </c>
      <c r="E210" s="869" t="s">
        <v>2090</v>
      </c>
      <c r="F210" s="872">
        <f>'[1]PLAN DE DESARROLLO 2024 - 2027'!$K$98</f>
        <v>0.35496183206106868</v>
      </c>
      <c r="G210" s="869" t="s">
        <v>695</v>
      </c>
      <c r="H210" s="869" t="s">
        <v>1403</v>
      </c>
      <c r="I210" s="901">
        <f>+'Desarrollo Economico'!Z23</f>
        <v>0.41984732824427479</v>
      </c>
      <c r="J210" s="869" t="s">
        <v>516</v>
      </c>
      <c r="K210" s="873" t="s">
        <v>2004</v>
      </c>
      <c r="P210"/>
    </row>
    <row r="211" spans="1:16" ht="30" customHeight="1" thickBot="1" x14ac:dyDescent="0.35">
      <c r="A211" s="869" t="s">
        <v>2076</v>
      </c>
      <c r="B211" s="871">
        <f>'[1]PLAN DE DESARROLLO 2024 - 2027'!$K$92</f>
        <v>0.27017707911062067</v>
      </c>
      <c r="C211" s="869" t="s">
        <v>2088</v>
      </c>
      <c r="D211" s="872">
        <f>'[1]PLAN DE DESARROLLO 2024 - 2027'!$K$96</f>
        <v>0.36955295801526716</v>
      </c>
      <c r="E211" s="869" t="s">
        <v>2091</v>
      </c>
      <c r="F211" s="872">
        <f>'[1]PLAN DE DESARROLLO 2024 - 2027'!$K$99</f>
        <v>0.24199999999999999</v>
      </c>
      <c r="G211" s="869" t="s">
        <v>697</v>
      </c>
      <c r="H211" s="869" t="s">
        <v>1404</v>
      </c>
      <c r="I211" s="901">
        <f>+'Desarrollo Economico'!Z25</f>
        <v>1</v>
      </c>
      <c r="J211" s="869" t="s">
        <v>698</v>
      </c>
      <c r="K211" s="873" t="s">
        <v>2004</v>
      </c>
      <c r="P211"/>
    </row>
    <row r="212" spans="1:16" ht="43.8" thickBot="1" x14ac:dyDescent="0.35">
      <c r="A212" s="869" t="s">
        <v>2076</v>
      </c>
      <c r="B212" s="871">
        <f>'[1]PLAN DE DESARROLLO 2024 - 2027'!$K$92</f>
        <v>0.27017707911062067</v>
      </c>
      <c r="C212" s="869" t="s">
        <v>2088</v>
      </c>
      <c r="D212" s="872">
        <f>'[1]PLAN DE DESARROLLO 2024 - 2027'!$K$96</f>
        <v>0.36955295801526716</v>
      </c>
      <c r="E212" s="869" t="s">
        <v>2091</v>
      </c>
      <c r="F212" s="872">
        <f>'[1]PLAN DE DESARROLLO 2024 - 2027'!$K$99</f>
        <v>0.24199999999999999</v>
      </c>
      <c r="G212" s="869" t="s">
        <v>699</v>
      </c>
      <c r="H212" s="869" t="s">
        <v>1405</v>
      </c>
      <c r="I212" s="902">
        <f>+'Desarrollo Economico'!Z26</f>
        <v>0.1</v>
      </c>
      <c r="J212" s="869" t="s">
        <v>2092</v>
      </c>
      <c r="K212" s="873" t="s">
        <v>2004</v>
      </c>
      <c r="P212"/>
    </row>
    <row r="213" spans="1:16" ht="29.4" thickBot="1" x14ac:dyDescent="0.35">
      <c r="A213" s="869" t="s">
        <v>2076</v>
      </c>
      <c r="B213" s="871">
        <f>'[1]PLAN DE DESARROLLO 2024 - 2027'!$K$92</f>
        <v>0.27017707911062067</v>
      </c>
      <c r="C213" s="869" t="s">
        <v>2088</v>
      </c>
      <c r="D213" s="872">
        <f>'[1]PLAN DE DESARROLLO 2024 - 2027'!$K$96</f>
        <v>0.36955295801526716</v>
      </c>
      <c r="E213" s="869" t="s">
        <v>2091</v>
      </c>
      <c r="F213" s="872">
        <f>'[1]PLAN DE DESARROLLO 2024 - 2027'!$K$99</f>
        <v>0.24199999999999999</v>
      </c>
      <c r="G213" s="869" t="s">
        <v>701</v>
      </c>
      <c r="H213" s="869" t="s">
        <v>1406</v>
      </c>
      <c r="I213" s="902">
        <f>+'Desarrollo Economico'!Z27</f>
        <v>0.6</v>
      </c>
      <c r="J213" s="869" t="s">
        <v>516</v>
      </c>
      <c r="K213" s="873" t="s">
        <v>2004</v>
      </c>
      <c r="P213"/>
    </row>
    <row r="214" spans="1:16" ht="43.8" thickBot="1" x14ac:dyDescent="0.35">
      <c r="A214" s="869" t="s">
        <v>2076</v>
      </c>
      <c r="B214" s="871">
        <f>'[1]PLAN DE DESARROLLO 2024 - 2027'!$K$92</f>
        <v>0.27017707911062067</v>
      </c>
      <c r="C214" s="869" t="s">
        <v>2088</v>
      </c>
      <c r="D214" s="872">
        <f>'[1]PLAN DE DESARROLLO 2024 - 2027'!$K$96</f>
        <v>0.36955295801526716</v>
      </c>
      <c r="E214" s="869" t="s">
        <v>2093</v>
      </c>
      <c r="F214" s="872">
        <f>'[1]PLAN DE DESARROLLO 2024 - 2027'!$K$100</f>
        <v>0.25</v>
      </c>
      <c r="G214" s="869" t="s">
        <v>702</v>
      </c>
      <c r="H214" s="869" t="s">
        <v>1407</v>
      </c>
      <c r="I214" s="901">
        <f>+'Desarrollo Economico'!Z29</f>
        <v>0.45000000000000007</v>
      </c>
      <c r="J214" s="869" t="s">
        <v>560</v>
      </c>
      <c r="K214" s="873" t="s">
        <v>2004</v>
      </c>
      <c r="P214"/>
    </row>
    <row r="215" spans="1:16" ht="29.4" thickBot="1" x14ac:dyDescent="0.35">
      <c r="A215" s="869" t="s">
        <v>2076</v>
      </c>
      <c r="B215" s="871">
        <f>'[1]PLAN DE DESARROLLO 2024 - 2027'!$K$92</f>
        <v>0.27017707911062067</v>
      </c>
      <c r="C215" s="869" t="s">
        <v>2088</v>
      </c>
      <c r="D215" s="872">
        <f>'[1]PLAN DE DESARROLLO 2024 - 2027'!$K$96</f>
        <v>0.36955295801526716</v>
      </c>
      <c r="E215" s="869" t="s">
        <v>2093</v>
      </c>
      <c r="F215" s="872">
        <f>'[1]PLAN DE DESARROLLO 2024 - 2027'!$K$100</f>
        <v>0.25</v>
      </c>
      <c r="G215" s="869" t="s">
        <v>703</v>
      </c>
      <c r="H215" s="869" t="s">
        <v>1408</v>
      </c>
      <c r="I215" s="901">
        <f>+'Desarrollo Economico'!Z30</f>
        <v>0.45000000000000007</v>
      </c>
      <c r="J215" s="869" t="s">
        <v>560</v>
      </c>
      <c r="K215" s="873" t="s">
        <v>2004</v>
      </c>
      <c r="P215"/>
    </row>
    <row r="216" spans="1:16" ht="29.4" thickBot="1" x14ac:dyDescent="0.35">
      <c r="A216" s="869" t="s">
        <v>2076</v>
      </c>
      <c r="B216" s="871">
        <f>'[1]PLAN DE DESARROLLO 2024 - 2027'!$K$92</f>
        <v>0.27017707911062067</v>
      </c>
      <c r="C216" s="869" t="s">
        <v>2088</v>
      </c>
      <c r="D216" s="872">
        <f>'[1]PLAN DE DESARROLLO 2024 - 2027'!$K$96</f>
        <v>0.36955295801526716</v>
      </c>
      <c r="E216" s="869" t="s">
        <v>2093</v>
      </c>
      <c r="F216" s="872">
        <f>'[1]PLAN DE DESARROLLO 2024 - 2027'!$K$100</f>
        <v>0.25</v>
      </c>
      <c r="G216" s="869" t="s">
        <v>704</v>
      </c>
      <c r="H216" s="869" t="s">
        <v>1409</v>
      </c>
      <c r="I216" s="901">
        <f>+'Desarrollo Economico'!Z31</f>
        <v>1</v>
      </c>
      <c r="J216" s="869" t="s">
        <v>683</v>
      </c>
      <c r="K216" s="873" t="s">
        <v>2004</v>
      </c>
      <c r="P216"/>
    </row>
    <row r="217" spans="1:16" ht="43.8" thickBot="1" x14ac:dyDescent="0.35">
      <c r="A217" s="869" t="s">
        <v>2076</v>
      </c>
      <c r="B217" s="871">
        <f>'[1]PLAN DE DESARROLLO 2024 - 2027'!$K$92</f>
        <v>0.27017707911062067</v>
      </c>
      <c r="C217" s="869" t="s">
        <v>2088</v>
      </c>
      <c r="D217" s="872">
        <f>'[1]PLAN DE DESARROLLO 2024 - 2027'!$K$96</f>
        <v>0.36955295801526716</v>
      </c>
      <c r="E217" s="869" t="s">
        <v>2093</v>
      </c>
      <c r="F217" s="872">
        <f>'[1]PLAN DE DESARROLLO 2024 - 2027'!$K$100</f>
        <v>0.25</v>
      </c>
      <c r="G217" s="869" t="s">
        <v>705</v>
      </c>
      <c r="H217" s="869" t="s">
        <v>1410</v>
      </c>
      <c r="I217" s="901">
        <f>+'Desarrollo Economico'!Z32</f>
        <v>0.2</v>
      </c>
      <c r="J217" s="869" t="s">
        <v>683</v>
      </c>
      <c r="K217" s="873" t="s">
        <v>2004</v>
      </c>
      <c r="P217"/>
    </row>
    <row r="218" spans="1:16" ht="43.8" thickBot="1" x14ac:dyDescent="0.35">
      <c r="A218" s="869" t="s">
        <v>2076</v>
      </c>
      <c r="B218" s="871">
        <f>'[1]PLAN DE DESARROLLO 2024 - 2027'!$K$92</f>
        <v>0.27017707911062067</v>
      </c>
      <c r="C218" s="869" t="s">
        <v>2094</v>
      </c>
      <c r="D218" s="872">
        <f>'[1]PLAN DE DESARROLLO 2024 - 2027'!$K$101</f>
        <v>0.31219487179487176</v>
      </c>
      <c r="E218" s="869" t="s">
        <v>2095</v>
      </c>
      <c r="F218" s="872">
        <f>'[1]PLAN DE DESARROLLO 2024 - 2027'!$K$102</f>
        <v>0.11370000000000001</v>
      </c>
      <c r="G218" s="869" t="s">
        <v>706</v>
      </c>
      <c r="H218" s="869" t="s">
        <v>1411</v>
      </c>
      <c r="I218" s="902">
        <f>+'Desarrollo Economico'!Z35</f>
        <v>0</v>
      </c>
      <c r="J218" s="869" t="s">
        <v>707</v>
      </c>
      <c r="K218" s="873" t="s">
        <v>2004</v>
      </c>
      <c r="P218"/>
    </row>
    <row r="219" spans="1:16" ht="43.8" thickBot="1" x14ac:dyDescent="0.35">
      <c r="A219" s="869" t="s">
        <v>2076</v>
      </c>
      <c r="B219" s="871">
        <f>'[1]PLAN DE DESARROLLO 2024 - 2027'!$K$92</f>
        <v>0.27017707911062067</v>
      </c>
      <c r="C219" s="869" t="s">
        <v>2094</v>
      </c>
      <c r="D219" s="872">
        <f>'[1]PLAN DE DESARROLLO 2024 - 2027'!$K$101</f>
        <v>0.31219487179487176</v>
      </c>
      <c r="E219" s="869" t="s">
        <v>2095</v>
      </c>
      <c r="F219" s="872">
        <f>'[1]PLAN DE DESARROLLO 2024 - 2027'!$K$102</f>
        <v>0.11370000000000001</v>
      </c>
      <c r="G219" s="869" t="s">
        <v>708</v>
      </c>
      <c r="H219" s="869" t="s">
        <v>1412</v>
      </c>
      <c r="I219" s="902">
        <f>+'Desarrollo Economico'!Z36</f>
        <v>0</v>
      </c>
      <c r="J219" s="869" t="s">
        <v>58</v>
      </c>
      <c r="K219" s="873" t="s">
        <v>2004</v>
      </c>
      <c r="P219"/>
    </row>
    <row r="220" spans="1:16" ht="43.8" thickBot="1" x14ac:dyDescent="0.35">
      <c r="A220" s="869" t="s">
        <v>2076</v>
      </c>
      <c r="B220" s="871">
        <f>'[1]PLAN DE DESARROLLO 2024 - 2027'!$K$92</f>
        <v>0.27017707911062067</v>
      </c>
      <c r="C220" s="869" t="s">
        <v>2094</v>
      </c>
      <c r="D220" s="872">
        <f>'[1]PLAN DE DESARROLLO 2024 - 2027'!$K$101</f>
        <v>0.31219487179487176</v>
      </c>
      <c r="E220" s="869" t="s">
        <v>2095</v>
      </c>
      <c r="F220" s="872">
        <f>'[1]PLAN DE DESARROLLO 2024 - 2027'!$K$102</f>
        <v>0.11370000000000001</v>
      </c>
      <c r="G220" s="869" t="s">
        <v>709</v>
      </c>
      <c r="H220" s="869" t="s">
        <v>1413</v>
      </c>
      <c r="I220" s="901">
        <f>+'Desarrollo Economico'!Z37</f>
        <v>0.32499999999999996</v>
      </c>
      <c r="J220" s="869" t="s">
        <v>683</v>
      </c>
      <c r="K220" s="873" t="s">
        <v>2004</v>
      </c>
      <c r="P220"/>
    </row>
    <row r="221" spans="1:16" ht="43.8" thickBot="1" x14ac:dyDescent="0.35">
      <c r="A221" s="869" t="s">
        <v>2076</v>
      </c>
      <c r="B221" s="871">
        <f>'[1]PLAN DE DESARROLLO 2024 - 2027'!$K$92</f>
        <v>0.27017707911062067</v>
      </c>
      <c r="C221" s="869" t="s">
        <v>2094</v>
      </c>
      <c r="D221" s="872">
        <f>'[1]PLAN DE DESARROLLO 2024 - 2027'!$K$101</f>
        <v>0.31219487179487176</v>
      </c>
      <c r="E221" s="869" t="s">
        <v>2095</v>
      </c>
      <c r="F221" s="872">
        <f>'[1]PLAN DE DESARROLLO 2024 - 2027'!$K$102</f>
        <v>0.11370000000000001</v>
      </c>
      <c r="G221" s="869" t="s">
        <v>710</v>
      </c>
      <c r="H221" s="869" t="s">
        <v>1414</v>
      </c>
      <c r="I221" s="901">
        <f>+'Desarrollo Economico'!Z38</f>
        <v>3.3333333333333335E-3</v>
      </c>
      <c r="J221" s="869" t="s">
        <v>683</v>
      </c>
      <c r="K221" s="873" t="s">
        <v>2004</v>
      </c>
      <c r="P221"/>
    </row>
    <row r="222" spans="1:16" ht="29.4" thickBot="1" x14ac:dyDescent="0.35">
      <c r="A222" s="869" t="s">
        <v>2076</v>
      </c>
      <c r="B222" s="871">
        <f>'[1]PLAN DE DESARROLLO 2024 - 2027'!$K$92</f>
        <v>0.27017707911062067</v>
      </c>
      <c r="C222" s="869" t="s">
        <v>2094</v>
      </c>
      <c r="D222" s="872">
        <f>'[1]PLAN DE DESARROLLO 2024 - 2027'!$K$101</f>
        <v>0.31219487179487176</v>
      </c>
      <c r="E222" s="869" t="s">
        <v>2095</v>
      </c>
      <c r="F222" s="872">
        <f>'[1]PLAN DE DESARROLLO 2024 - 2027'!$K$102</f>
        <v>0.11370000000000001</v>
      </c>
      <c r="G222" s="869" t="s">
        <v>711</v>
      </c>
      <c r="H222" s="869" t="s">
        <v>1415</v>
      </c>
      <c r="I222" s="901">
        <f>+'Desarrollo Economico'!Z39</f>
        <v>0.49109999999999998</v>
      </c>
      <c r="J222" s="869" t="s">
        <v>683</v>
      </c>
      <c r="K222" s="873" t="s">
        <v>2004</v>
      </c>
      <c r="P222"/>
    </row>
    <row r="223" spans="1:16" ht="43.8" thickBot="1" x14ac:dyDescent="0.35">
      <c r="A223" s="869" t="s">
        <v>2076</v>
      </c>
      <c r="B223" s="871">
        <f>'[1]PLAN DE DESARROLLO 2024 - 2027'!$K$92</f>
        <v>0.27017707911062067</v>
      </c>
      <c r="C223" s="869" t="s">
        <v>2094</v>
      </c>
      <c r="D223" s="872">
        <f>'[1]PLAN DE DESARROLLO 2024 - 2027'!$K$101</f>
        <v>0.31219487179487176</v>
      </c>
      <c r="E223" s="869" t="s">
        <v>2096</v>
      </c>
      <c r="F223" s="872">
        <f>'[1]PLAN DE DESARROLLO 2024 - 2027'!$K$103</f>
        <v>0.3775</v>
      </c>
      <c r="G223" s="869" t="s">
        <v>712</v>
      </c>
      <c r="H223" s="869" t="s">
        <v>1416</v>
      </c>
      <c r="I223" s="901">
        <f>+'Desarrollo Economico'!Z41</f>
        <v>0.755</v>
      </c>
      <c r="J223" s="869" t="s">
        <v>516</v>
      </c>
      <c r="K223" s="873" t="s">
        <v>2004</v>
      </c>
      <c r="P223"/>
    </row>
    <row r="224" spans="1:16" ht="29.4" thickBot="1" x14ac:dyDescent="0.35">
      <c r="A224" s="869" t="s">
        <v>2076</v>
      </c>
      <c r="B224" s="871">
        <f>'[1]PLAN DE DESARROLLO 2024 - 2027'!$K$92</f>
        <v>0.27017707911062067</v>
      </c>
      <c r="C224" s="869" t="s">
        <v>2094</v>
      </c>
      <c r="D224" s="872">
        <f>'[1]PLAN DE DESARROLLO 2024 - 2027'!$K$101</f>
        <v>0.31219487179487176</v>
      </c>
      <c r="E224" s="869" t="s">
        <v>2096</v>
      </c>
      <c r="F224" s="872">
        <f>'[1]PLAN DE DESARROLLO 2024 - 2027'!$K$103</f>
        <v>0.3775</v>
      </c>
      <c r="G224" s="869" t="s">
        <v>713</v>
      </c>
      <c r="H224" s="869" t="s">
        <v>1417</v>
      </c>
      <c r="I224" s="901">
        <f>+'Desarrollo Economico'!Z42</f>
        <v>0.33250000000000002</v>
      </c>
      <c r="J224" s="869" t="s">
        <v>516</v>
      </c>
      <c r="K224" s="873" t="s">
        <v>2004</v>
      </c>
      <c r="P224"/>
    </row>
    <row r="225" spans="1:16" ht="29.4" thickBot="1" x14ac:dyDescent="0.35">
      <c r="A225" s="869" t="s">
        <v>2076</v>
      </c>
      <c r="B225" s="871">
        <f>'[1]PLAN DE DESARROLLO 2024 - 2027'!$K$92</f>
        <v>0.27017707911062067</v>
      </c>
      <c r="C225" s="869" t="s">
        <v>2094</v>
      </c>
      <c r="D225" s="872">
        <f>'[1]PLAN DE DESARROLLO 2024 - 2027'!$K$101</f>
        <v>0.31219487179487176</v>
      </c>
      <c r="E225" s="869" t="s">
        <v>2097</v>
      </c>
      <c r="F225" s="872">
        <f>'[1]PLAN DE DESARROLLO 2024 - 2027'!$K$104</f>
        <v>0.44538461538461538</v>
      </c>
      <c r="G225" s="869" t="s">
        <v>714</v>
      </c>
      <c r="H225" s="869" t="s">
        <v>1418</v>
      </c>
      <c r="I225" s="901">
        <f>+'Desarrollo Economico'!Z44</f>
        <v>0.86307692307692307</v>
      </c>
      <c r="J225" s="869" t="s">
        <v>58</v>
      </c>
      <c r="K225" s="873" t="s">
        <v>2004</v>
      </c>
      <c r="P225"/>
    </row>
    <row r="226" spans="1:16" ht="25.2" customHeight="1" thickBot="1" x14ac:dyDescent="0.35">
      <c r="A226" s="869" t="s">
        <v>2076</v>
      </c>
      <c r="B226" s="871">
        <f>'[1]PLAN DE DESARROLLO 2024 - 2027'!$K$92</f>
        <v>0.27017707911062067</v>
      </c>
      <c r="C226" s="869" t="s">
        <v>2077</v>
      </c>
      <c r="D226" s="872">
        <f>'[1]PLAN DE DESARROLLO 2024 - 2027'!$K$105</f>
        <v>0.13440625</v>
      </c>
      <c r="E226" s="869" t="s">
        <v>2098</v>
      </c>
      <c r="F226" s="872">
        <f>'[1]PLAN DE DESARROLLO 2024 - 2027'!$K$106</f>
        <v>0.185</v>
      </c>
      <c r="G226" s="869" t="s">
        <v>715</v>
      </c>
      <c r="H226" s="869" t="s">
        <v>1419</v>
      </c>
      <c r="I226" s="901">
        <f>+'Desarrollo Economico'!Z47</f>
        <v>0.25</v>
      </c>
      <c r="J226" s="869" t="s">
        <v>683</v>
      </c>
      <c r="K226" s="873" t="s">
        <v>2004</v>
      </c>
      <c r="P226"/>
    </row>
    <row r="227" spans="1:16" ht="29.4" thickBot="1" x14ac:dyDescent="0.35">
      <c r="A227" s="869" t="s">
        <v>2076</v>
      </c>
      <c r="B227" s="871">
        <f>'[1]PLAN DE DESARROLLO 2024 - 2027'!$K$92</f>
        <v>0.27017707911062067</v>
      </c>
      <c r="C227" s="869" t="s">
        <v>2077</v>
      </c>
      <c r="D227" s="872">
        <f>'[1]PLAN DE DESARROLLO 2024 - 2027'!$K$105</f>
        <v>0.13440625</v>
      </c>
      <c r="E227" s="869" t="s">
        <v>2098</v>
      </c>
      <c r="F227" s="872">
        <f>'[1]PLAN DE DESARROLLO 2024 - 2027'!$K$106</f>
        <v>0.185</v>
      </c>
      <c r="G227" s="869" t="s">
        <v>716</v>
      </c>
      <c r="H227" s="869" t="s">
        <v>1420</v>
      </c>
      <c r="I227" s="901">
        <f>+'Desarrollo Economico'!Z48</f>
        <v>0.35</v>
      </c>
      <c r="J227" s="869" t="s">
        <v>683</v>
      </c>
      <c r="K227" s="873" t="s">
        <v>2004</v>
      </c>
      <c r="P227"/>
    </row>
    <row r="228" spans="1:16" ht="29.4" thickBot="1" x14ac:dyDescent="0.35">
      <c r="A228" s="869" t="s">
        <v>2076</v>
      </c>
      <c r="B228" s="871">
        <f>'[1]PLAN DE DESARROLLO 2024 - 2027'!$K$92</f>
        <v>0.27017707911062067</v>
      </c>
      <c r="C228" s="869" t="s">
        <v>2077</v>
      </c>
      <c r="D228" s="872">
        <f>'[1]PLAN DE DESARROLLO 2024 - 2027'!$K$105</f>
        <v>0.13440625</v>
      </c>
      <c r="E228" s="869" t="s">
        <v>2098</v>
      </c>
      <c r="F228" s="872">
        <f>'[1]PLAN DE DESARROLLO 2024 - 2027'!$K$106</f>
        <v>0.185</v>
      </c>
      <c r="G228" s="869" t="s">
        <v>717</v>
      </c>
      <c r="H228" s="869" t="s">
        <v>1421</v>
      </c>
      <c r="I228" s="901">
        <f>+'Desarrollo Economico'!Z49</f>
        <v>0.5</v>
      </c>
      <c r="J228" s="869" t="s">
        <v>683</v>
      </c>
      <c r="K228" s="873" t="s">
        <v>2004</v>
      </c>
      <c r="P228"/>
    </row>
    <row r="229" spans="1:16" ht="29.4" thickBot="1" x14ac:dyDescent="0.35">
      <c r="A229" s="869" t="s">
        <v>2076</v>
      </c>
      <c r="B229" s="871">
        <f>'[1]PLAN DE DESARROLLO 2024 - 2027'!$K$92</f>
        <v>0.27017707911062067</v>
      </c>
      <c r="C229" s="869" t="s">
        <v>2077</v>
      </c>
      <c r="D229" s="872">
        <f>'[1]PLAN DE DESARROLLO 2024 - 2027'!$K$105</f>
        <v>0.13440625</v>
      </c>
      <c r="E229" s="869" t="s">
        <v>2098</v>
      </c>
      <c r="F229" s="872">
        <f>'[1]PLAN DE DESARROLLO 2024 - 2027'!$K$106</f>
        <v>0.185</v>
      </c>
      <c r="G229" s="869" t="s">
        <v>718</v>
      </c>
      <c r="H229" s="869" t="s">
        <v>1422</v>
      </c>
      <c r="I229" s="902">
        <f>+'Desarrollo Economico'!Z50</f>
        <v>0.42299999999999999</v>
      </c>
      <c r="J229" s="869" t="s">
        <v>683</v>
      </c>
      <c r="K229" s="873" t="s">
        <v>2004</v>
      </c>
      <c r="P229"/>
    </row>
    <row r="230" spans="1:16" ht="58.2" thickBot="1" x14ac:dyDescent="0.35">
      <c r="A230" s="869" t="s">
        <v>2076</v>
      </c>
      <c r="B230" s="871">
        <f>'[1]PLAN DE DESARROLLO 2024 - 2027'!$K$92</f>
        <v>0.27017707911062067</v>
      </c>
      <c r="C230" s="869" t="s">
        <v>2077</v>
      </c>
      <c r="D230" s="872">
        <f>'[1]PLAN DE DESARROLLO 2024 - 2027'!$K$105</f>
        <v>0.13440625</v>
      </c>
      <c r="E230" s="869" t="s">
        <v>2098</v>
      </c>
      <c r="F230" s="872">
        <f>'[1]PLAN DE DESARROLLO 2024 - 2027'!$K$106</f>
        <v>0.185</v>
      </c>
      <c r="G230" s="869" t="s">
        <v>719</v>
      </c>
      <c r="H230" s="869" t="s">
        <v>1423</v>
      </c>
      <c r="I230" s="901">
        <f>+'Desarrollo Economico'!Z51</f>
        <v>0.5</v>
      </c>
      <c r="J230" s="869" t="s">
        <v>2099</v>
      </c>
      <c r="K230" s="873" t="s">
        <v>2004</v>
      </c>
      <c r="P230"/>
    </row>
    <row r="231" spans="1:16" ht="29.4" thickBot="1" x14ac:dyDescent="0.35">
      <c r="A231" s="869" t="s">
        <v>2076</v>
      </c>
      <c r="B231" s="871">
        <f>'[1]PLAN DE DESARROLLO 2024 - 2027'!$K$92</f>
        <v>0.27017707911062067</v>
      </c>
      <c r="C231" s="869" t="s">
        <v>2077</v>
      </c>
      <c r="D231" s="872">
        <f>'[1]PLAN DE DESARROLLO 2024 - 2027'!$K$105</f>
        <v>0.13440625</v>
      </c>
      <c r="E231" s="869" t="s">
        <v>2098</v>
      </c>
      <c r="F231" s="872">
        <f>'[1]PLAN DE DESARROLLO 2024 - 2027'!$K$106</f>
        <v>0.185</v>
      </c>
      <c r="G231" s="869" t="s">
        <v>2100</v>
      </c>
      <c r="H231" s="869" t="s">
        <v>2101</v>
      </c>
      <c r="I231" s="901">
        <f>+'Desarrollo Economico'!Z52</f>
        <v>0.28000000000000003</v>
      </c>
      <c r="J231" s="869" t="s">
        <v>683</v>
      </c>
      <c r="K231" s="873" t="s">
        <v>2004</v>
      </c>
      <c r="P231"/>
    </row>
    <row r="232" spans="1:16" ht="40.200000000000003" customHeight="1" thickBot="1" x14ac:dyDescent="0.35">
      <c r="A232" s="869" t="s">
        <v>2076</v>
      </c>
      <c r="B232" s="871">
        <f>'[1]PLAN DE DESARROLLO 2024 - 2027'!$K$92</f>
        <v>0.27017707911062067</v>
      </c>
      <c r="C232" s="869" t="s">
        <v>2077</v>
      </c>
      <c r="D232" s="872">
        <f>'[1]PLAN DE DESARROLLO 2024 - 2027'!$K$105</f>
        <v>0.13440625</v>
      </c>
      <c r="E232" s="869" t="s">
        <v>2098</v>
      </c>
      <c r="F232" s="872">
        <f>'[1]PLAN DE DESARROLLO 2024 - 2027'!$K$106</f>
        <v>0.185</v>
      </c>
      <c r="G232" s="869" t="s">
        <v>722</v>
      </c>
      <c r="H232" s="869" t="s">
        <v>1425</v>
      </c>
      <c r="I232" s="902">
        <f>+'Desarrollo Economico'!Z53</f>
        <v>0</v>
      </c>
      <c r="J232" s="869" t="s">
        <v>516</v>
      </c>
      <c r="K232" s="873" t="s">
        <v>2004</v>
      </c>
      <c r="P232"/>
    </row>
    <row r="233" spans="1:16" ht="45" customHeight="1" thickBot="1" x14ac:dyDescent="0.35">
      <c r="A233" s="869" t="s">
        <v>2076</v>
      </c>
      <c r="B233" s="871">
        <f>'[1]PLAN DE DESARROLLO 2024 - 2027'!$K$92</f>
        <v>0.27017707911062067</v>
      </c>
      <c r="C233" s="869" t="s">
        <v>2077</v>
      </c>
      <c r="D233" s="872">
        <f>'[1]PLAN DE DESARROLLO 2024 - 2027'!$K$105</f>
        <v>0.13440625</v>
      </c>
      <c r="E233" s="869" t="s">
        <v>1793</v>
      </c>
      <c r="F233" s="872">
        <f>'[1]PLAN DE DESARROLLO 2024 - 2027'!$K$107</f>
        <v>8.7124999999999994E-2</v>
      </c>
      <c r="G233" s="869" t="s">
        <v>724</v>
      </c>
      <c r="H233" s="869" t="s">
        <v>1426</v>
      </c>
      <c r="I233" s="901">
        <f>+'Desarrollo Economico'!Z55</f>
        <v>0.30000000000000004</v>
      </c>
      <c r="J233" s="869" t="s">
        <v>58</v>
      </c>
      <c r="K233" s="873" t="s">
        <v>2004</v>
      </c>
      <c r="P233"/>
    </row>
    <row r="234" spans="1:16" ht="47.4" customHeight="1" thickBot="1" x14ac:dyDescent="0.35">
      <c r="A234" s="869" t="s">
        <v>2076</v>
      </c>
      <c r="B234" s="871">
        <f>'[1]PLAN DE DESARROLLO 2024 - 2027'!$K$92</f>
        <v>0.27017707911062067</v>
      </c>
      <c r="C234" s="869" t="s">
        <v>2077</v>
      </c>
      <c r="D234" s="872">
        <f>'[1]PLAN DE DESARROLLO 2024 - 2027'!$K$105</f>
        <v>0.13440625</v>
      </c>
      <c r="E234" s="869" t="s">
        <v>1793</v>
      </c>
      <c r="F234" s="872">
        <f>'[1]PLAN DE DESARROLLO 2024 - 2027'!$K$107</f>
        <v>8.7124999999999994E-2</v>
      </c>
      <c r="G234" s="869" t="s">
        <v>725</v>
      </c>
      <c r="H234" s="869" t="s">
        <v>1427</v>
      </c>
      <c r="I234" s="901">
        <f>+'Desarrollo Economico'!Z56</f>
        <v>0.82299999999999995</v>
      </c>
      <c r="J234" s="869" t="s">
        <v>58</v>
      </c>
      <c r="K234" s="873" t="s">
        <v>2004</v>
      </c>
      <c r="P234"/>
    </row>
    <row r="235" spans="1:16" ht="48.6" customHeight="1" thickBot="1" x14ac:dyDescent="0.35">
      <c r="A235" s="869" t="s">
        <v>2076</v>
      </c>
      <c r="B235" s="871">
        <f>'[1]PLAN DE DESARROLLO 2024 - 2027'!$K$92</f>
        <v>0.27017707911062067</v>
      </c>
      <c r="C235" s="869" t="s">
        <v>2077</v>
      </c>
      <c r="D235" s="872">
        <f>'[1]PLAN DE DESARROLLO 2024 - 2027'!$K$105</f>
        <v>0.13440625</v>
      </c>
      <c r="E235" s="869" t="s">
        <v>1793</v>
      </c>
      <c r="F235" s="872">
        <f>'[1]PLAN DE DESARROLLO 2024 - 2027'!$K$107</f>
        <v>8.7124999999999994E-2</v>
      </c>
      <c r="G235" s="869" t="s">
        <v>726</v>
      </c>
      <c r="H235" s="869" t="s">
        <v>1428</v>
      </c>
      <c r="I235" s="901">
        <f>+'Desarrollo Economico'!Z57</f>
        <v>0.25</v>
      </c>
      <c r="J235" s="869" t="s">
        <v>58</v>
      </c>
      <c r="K235" s="873" t="s">
        <v>2004</v>
      </c>
      <c r="P235"/>
    </row>
    <row r="236" spans="1:16" ht="60.6" customHeight="1" thickBot="1" x14ac:dyDescent="0.35">
      <c r="A236" s="869" t="s">
        <v>2076</v>
      </c>
      <c r="B236" s="871">
        <f>'[1]PLAN DE DESARROLLO 2024 - 2027'!$K$92</f>
        <v>0.27017707911062067</v>
      </c>
      <c r="C236" s="869" t="s">
        <v>2077</v>
      </c>
      <c r="D236" s="872">
        <f>'[1]PLAN DE DESARROLLO 2024 - 2027'!$K$105</f>
        <v>0.13440625</v>
      </c>
      <c r="E236" s="869" t="s">
        <v>1793</v>
      </c>
      <c r="F236" s="872">
        <f>'[1]PLAN DE DESARROLLO 2024 - 2027'!$K$107</f>
        <v>8.7124999999999994E-2</v>
      </c>
      <c r="G236" s="869" t="s">
        <v>727</v>
      </c>
      <c r="H236" s="869" t="s">
        <v>1429</v>
      </c>
      <c r="I236" s="901">
        <f>+'Desarrollo Economico'!Z58</f>
        <v>0.5</v>
      </c>
      <c r="J236" s="869" t="s">
        <v>58</v>
      </c>
      <c r="K236" s="873" t="s">
        <v>2004</v>
      </c>
      <c r="P236"/>
    </row>
    <row r="237" spans="1:16" ht="15" thickBot="1" x14ac:dyDescent="0.35">
      <c r="A237" s="869" t="s">
        <v>2076</v>
      </c>
      <c r="B237" s="871">
        <f>'[1]PLAN DE DESARROLLO 2024 - 2027'!$K$92</f>
        <v>0.27017707911062067</v>
      </c>
      <c r="C237" s="869" t="s">
        <v>2077</v>
      </c>
      <c r="D237" s="872">
        <f>'[1]PLAN DE DESARROLLO 2024 - 2027'!$K$105</f>
        <v>0.13440625</v>
      </c>
      <c r="E237" s="869" t="s">
        <v>2102</v>
      </c>
      <c r="F237" s="872">
        <f>'[1]PLAN DE DESARROLLO 2024 - 2027'!$K$108</f>
        <v>0.26550000000000001</v>
      </c>
      <c r="G237" s="869" t="s">
        <v>728</v>
      </c>
      <c r="H237" s="869" t="s">
        <v>1430</v>
      </c>
      <c r="I237" s="901">
        <f>+'Desarrollo Economico'!Z60</f>
        <v>0.78700000000000003</v>
      </c>
      <c r="J237" s="869" t="s">
        <v>58</v>
      </c>
      <c r="K237" s="873" t="s">
        <v>2004</v>
      </c>
      <c r="P237"/>
    </row>
    <row r="238" spans="1:16" ht="15" thickBot="1" x14ac:dyDescent="0.35">
      <c r="A238" s="869" t="s">
        <v>2076</v>
      </c>
      <c r="B238" s="871">
        <f>'[1]PLAN DE DESARROLLO 2024 - 2027'!$K$92</f>
        <v>0.27017707911062067</v>
      </c>
      <c r="C238" s="869" t="s">
        <v>2077</v>
      </c>
      <c r="D238" s="872">
        <f>'[1]PLAN DE DESARROLLO 2024 - 2027'!$K$105</f>
        <v>0.13440625</v>
      </c>
      <c r="E238" s="869" t="s">
        <v>2102</v>
      </c>
      <c r="F238" s="872">
        <f>'[1]PLAN DE DESARROLLO 2024 - 2027'!$K$108</f>
        <v>0.26550000000000001</v>
      </c>
      <c r="G238" s="869" t="s">
        <v>729</v>
      </c>
      <c r="H238" s="869" t="s">
        <v>1431</v>
      </c>
      <c r="I238" s="902">
        <f>+'Desarrollo Economico'!Z61</f>
        <v>0.28333333333333333</v>
      </c>
      <c r="J238" s="869" t="s">
        <v>58</v>
      </c>
      <c r="K238" s="873" t="s">
        <v>2004</v>
      </c>
      <c r="P238"/>
    </row>
    <row r="239" spans="1:16" ht="29.4" thickBot="1" x14ac:dyDescent="0.35">
      <c r="A239" s="869" t="s">
        <v>2076</v>
      </c>
      <c r="B239" s="871">
        <f>'[1]PLAN DE DESARROLLO 2024 - 2027'!$K$92</f>
        <v>0.27017707911062067</v>
      </c>
      <c r="C239" s="869" t="s">
        <v>2077</v>
      </c>
      <c r="D239" s="872">
        <f>'[1]PLAN DE DESARROLLO 2024 - 2027'!$K$105</f>
        <v>0.13440625</v>
      </c>
      <c r="E239" s="869" t="s">
        <v>2102</v>
      </c>
      <c r="F239" s="872">
        <f>'[1]PLAN DE DESARROLLO 2024 - 2027'!$K$108</f>
        <v>0.26550000000000001</v>
      </c>
      <c r="G239" s="869" t="s">
        <v>730</v>
      </c>
      <c r="H239" s="869" t="s">
        <v>1432</v>
      </c>
      <c r="I239" s="901">
        <f>+'Desarrollo Economico'!Z62</f>
        <v>0.76249999999999996</v>
      </c>
      <c r="J239" s="869" t="s">
        <v>58</v>
      </c>
      <c r="K239" s="873" t="s">
        <v>2004</v>
      </c>
      <c r="P239"/>
    </row>
    <row r="240" spans="1:16" ht="29.4" thickBot="1" x14ac:dyDescent="0.35">
      <c r="A240" s="869" t="s">
        <v>2076</v>
      </c>
      <c r="B240" s="871">
        <f>'[1]PLAN DE DESARROLLO 2024 - 2027'!$K$92</f>
        <v>0.27017707911062067</v>
      </c>
      <c r="C240" s="869" t="s">
        <v>2077</v>
      </c>
      <c r="D240" s="872">
        <f>'[1]PLAN DE DESARROLLO 2024 - 2027'!$K$105</f>
        <v>0.13440625</v>
      </c>
      <c r="E240" s="869" t="s">
        <v>2102</v>
      </c>
      <c r="F240" s="872">
        <f>'[1]PLAN DE DESARROLLO 2024 - 2027'!$K$108</f>
        <v>0.26550000000000001</v>
      </c>
      <c r="G240" s="869" t="s">
        <v>731</v>
      </c>
      <c r="H240" s="869" t="s">
        <v>1433</v>
      </c>
      <c r="I240" s="902">
        <f>+'Desarrollo Economico'!Z63</f>
        <v>0.5</v>
      </c>
      <c r="J240" s="869" t="s">
        <v>58</v>
      </c>
      <c r="K240" s="873" t="s">
        <v>2004</v>
      </c>
      <c r="P240"/>
    </row>
    <row r="241" spans="1:16" ht="29.4" thickBot="1" x14ac:dyDescent="0.35">
      <c r="A241" s="869" t="s">
        <v>2076</v>
      </c>
      <c r="B241" s="871">
        <f>'[1]PLAN DE DESARROLLO 2024 - 2027'!$K$92</f>
        <v>0.27017707911062067</v>
      </c>
      <c r="C241" s="869" t="s">
        <v>2078</v>
      </c>
      <c r="D241" s="872">
        <f>'[1]PLAN DE DESARROLLO 2024 - 2027'!$K$110</f>
        <v>0.16916666666666663</v>
      </c>
      <c r="E241" s="869" t="s">
        <v>1798</v>
      </c>
      <c r="F241" s="872">
        <f>'[1]PLAN DE DESARROLLO 2024 - 2027'!$K$113</f>
        <v>0.51249999999999996</v>
      </c>
      <c r="G241" s="869" t="s">
        <v>753</v>
      </c>
      <c r="H241" s="869" t="s">
        <v>1452</v>
      </c>
      <c r="I241" s="901">
        <f>+'Desarrollo Economico'!Z87</f>
        <v>0.25</v>
      </c>
      <c r="J241" s="869" t="s">
        <v>2103</v>
      </c>
      <c r="K241" s="873" t="s">
        <v>2004</v>
      </c>
      <c r="P241"/>
    </row>
    <row r="242" spans="1:16" ht="29.4" thickBot="1" x14ac:dyDescent="0.35">
      <c r="A242" s="869" t="s">
        <v>2076</v>
      </c>
      <c r="B242" s="871">
        <f>'[1]PLAN DE DESARROLLO 2024 - 2027'!$K$92</f>
        <v>0.27017707911062067</v>
      </c>
      <c r="C242" s="869" t="s">
        <v>2078</v>
      </c>
      <c r="D242" s="872">
        <f>'[1]PLAN DE DESARROLLO 2024 - 2027'!$K$110</f>
        <v>0.16916666666666663</v>
      </c>
      <c r="E242" s="869" t="s">
        <v>1798</v>
      </c>
      <c r="F242" s="872">
        <f>'[1]PLAN DE DESARROLLO 2024 - 2027'!$K$113</f>
        <v>0.51249999999999996</v>
      </c>
      <c r="G242" s="869" t="s">
        <v>755</v>
      </c>
      <c r="H242" s="869" t="s">
        <v>1453</v>
      </c>
      <c r="I242" s="901">
        <f>+'Desarrollo Economico'!Z88</f>
        <v>0.51666666666666672</v>
      </c>
      <c r="J242" s="869" t="s">
        <v>2103</v>
      </c>
      <c r="K242" s="873" t="s">
        <v>2004</v>
      </c>
      <c r="P242"/>
    </row>
    <row r="243" spans="1:16" ht="29.4" thickBot="1" x14ac:dyDescent="0.35">
      <c r="A243" s="869" t="s">
        <v>2076</v>
      </c>
      <c r="B243" s="871">
        <f>'[1]PLAN DE DESARROLLO 2024 - 2027'!$K$92</f>
        <v>0.27017707911062067</v>
      </c>
      <c r="C243" s="869" t="s">
        <v>2078</v>
      </c>
      <c r="D243" s="872">
        <f>'[1]PLAN DE DESARROLLO 2024 - 2027'!$K$110</f>
        <v>0.16916666666666663</v>
      </c>
      <c r="E243" s="869" t="s">
        <v>1798</v>
      </c>
      <c r="F243" s="872">
        <f>'[1]PLAN DE DESARROLLO 2024 - 2027'!$K$113</f>
        <v>0.51249999999999996</v>
      </c>
      <c r="G243" s="869" t="s">
        <v>756</v>
      </c>
      <c r="H243" s="869" t="s">
        <v>1454</v>
      </c>
      <c r="I243" s="901">
        <f>+'Desarrollo Economico'!Z89</f>
        <v>1</v>
      </c>
      <c r="J243" s="869" t="s">
        <v>2103</v>
      </c>
      <c r="K243" s="873" t="s">
        <v>2004</v>
      </c>
      <c r="P243"/>
    </row>
    <row r="244" spans="1:16" ht="29.4" thickBot="1" x14ac:dyDescent="0.35">
      <c r="A244" s="869" t="s">
        <v>2076</v>
      </c>
      <c r="B244" s="871">
        <f>'[1]PLAN DE DESARROLLO 2024 - 2027'!$K$92</f>
        <v>0.27017707911062067</v>
      </c>
      <c r="C244" s="869" t="s">
        <v>2078</v>
      </c>
      <c r="D244" s="872">
        <f>'[1]PLAN DE DESARROLLO 2024 - 2027'!$K$110</f>
        <v>0.16916666666666663</v>
      </c>
      <c r="E244" s="869" t="s">
        <v>1798</v>
      </c>
      <c r="F244" s="872">
        <f>'[1]PLAN DE DESARROLLO 2024 - 2027'!$K$113</f>
        <v>0.51249999999999996</v>
      </c>
      <c r="G244" s="869" t="s">
        <v>757</v>
      </c>
      <c r="H244" s="869" t="s">
        <v>1455</v>
      </c>
      <c r="I244" s="901">
        <f>+'Desarrollo Economico'!Z90</f>
        <v>1</v>
      </c>
      <c r="J244" s="869" t="s">
        <v>2103</v>
      </c>
      <c r="K244" s="873" t="s">
        <v>2004</v>
      </c>
      <c r="P244"/>
    </row>
    <row r="245" spans="1:16" ht="29.4" thickBot="1" x14ac:dyDescent="0.35">
      <c r="A245" s="869" t="s">
        <v>2076</v>
      </c>
      <c r="B245" s="871">
        <f>'[1]PLAN DE DESARROLLO 2024 - 2027'!$K$92</f>
        <v>0.27017707911062067</v>
      </c>
      <c r="C245" s="869" t="s">
        <v>2078</v>
      </c>
      <c r="D245" s="872">
        <f>'[1]PLAN DE DESARROLLO 2024 - 2027'!$K$110</f>
        <v>0.16916666666666663</v>
      </c>
      <c r="E245" s="869" t="s">
        <v>2104</v>
      </c>
      <c r="F245" s="872">
        <f>'[1]PLAN DE DESARROLLO 2024 - 2027'!$K$115</f>
        <v>0.33333333333333331</v>
      </c>
      <c r="G245" s="869" t="s">
        <v>763</v>
      </c>
      <c r="H245" s="869" t="s">
        <v>1460</v>
      </c>
      <c r="I245" s="901">
        <f>+'Desarrollo Economico'!Z97</f>
        <v>1</v>
      </c>
      <c r="J245" s="869" t="s">
        <v>736</v>
      </c>
      <c r="K245" s="873" t="s">
        <v>2004</v>
      </c>
      <c r="P245"/>
    </row>
    <row r="246" spans="1:16" ht="29.4" thickBot="1" x14ac:dyDescent="0.35">
      <c r="A246" s="869" t="s">
        <v>2076</v>
      </c>
      <c r="B246" s="871">
        <f>'[1]PLAN DE DESARROLLO 2024 - 2027'!$K$92</f>
        <v>0.27017707911062067</v>
      </c>
      <c r="C246" s="869" t="s">
        <v>2078</v>
      </c>
      <c r="D246" s="872">
        <f>'[1]PLAN DE DESARROLLO 2024 - 2027'!$K$110</f>
        <v>0.16916666666666663</v>
      </c>
      <c r="E246" s="869" t="s">
        <v>2104</v>
      </c>
      <c r="F246" s="872">
        <f>'[1]PLAN DE DESARROLLO 2024 - 2027'!$K$115</f>
        <v>0.33333333333333331</v>
      </c>
      <c r="G246" s="869" t="s">
        <v>764</v>
      </c>
      <c r="H246" s="869" t="s">
        <v>1461</v>
      </c>
      <c r="I246" s="901">
        <f>+'Desarrollo Economico'!Z98</f>
        <v>0</v>
      </c>
      <c r="J246" s="869" t="s">
        <v>736</v>
      </c>
      <c r="K246" s="873" t="s">
        <v>2004</v>
      </c>
      <c r="P246"/>
    </row>
    <row r="247" spans="1:16" ht="29.4" thickBot="1" x14ac:dyDescent="0.35">
      <c r="A247" s="869" t="s">
        <v>2076</v>
      </c>
      <c r="B247" s="871">
        <f>'[1]PLAN DE DESARROLLO 2024 - 2027'!$K$92</f>
        <v>0.27017707911062067</v>
      </c>
      <c r="C247" s="869" t="s">
        <v>2078</v>
      </c>
      <c r="D247" s="872">
        <f>'[1]PLAN DE DESARROLLO 2024 - 2027'!$K$110</f>
        <v>0.16916666666666663</v>
      </c>
      <c r="E247" s="869" t="s">
        <v>2104</v>
      </c>
      <c r="F247" s="872">
        <f>'[1]PLAN DE DESARROLLO 2024 - 2027'!$K$115</f>
        <v>0.33333333333333331</v>
      </c>
      <c r="G247" s="869" t="s">
        <v>765</v>
      </c>
      <c r="H247" s="869" t="s">
        <v>1462</v>
      </c>
      <c r="I247" s="901">
        <f>+'Desarrollo Economico'!Z99</f>
        <v>1</v>
      </c>
      <c r="J247" s="869" t="s">
        <v>736</v>
      </c>
      <c r="K247" s="873" t="s">
        <v>2004</v>
      </c>
      <c r="P247"/>
    </row>
    <row r="248" spans="1:16" ht="37.200000000000003" customHeight="1" thickBot="1" x14ac:dyDescent="0.35">
      <c r="A248" s="869" t="s">
        <v>2076</v>
      </c>
      <c r="B248" s="871">
        <f>'[1]PLAN DE DESARROLLO 2024 - 2027'!$K$92</f>
        <v>0.27017707911062067</v>
      </c>
      <c r="C248" s="869" t="s">
        <v>2105</v>
      </c>
      <c r="D248" s="872">
        <f>'[1]PLAN DE DESARROLLO 2024 - 2027'!$K$116</f>
        <v>0.23817818229753918</v>
      </c>
      <c r="E248" s="869" t="s">
        <v>2106</v>
      </c>
      <c r="F248" s="872">
        <f>'[1]PLAN DE DESARROLLO 2024 - 2027'!$K$117</f>
        <v>0.30715959252971137</v>
      </c>
      <c r="G248" s="869" t="s">
        <v>766</v>
      </c>
      <c r="H248" s="869" t="s">
        <v>1463</v>
      </c>
      <c r="I248" s="901">
        <f>+'Desarrollo Economico'!Z102</f>
        <v>0.4</v>
      </c>
      <c r="J248" s="869" t="s">
        <v>767</v>
      </c>
      <c r="K248" s="873" t="s">
        <v>2004</v>
      </c>
      <c r="P248"/>
    </row>
    <row r="249" spans="1:16" ht="29.4" thickBot="1" x14ac:dyDescent="0.35">
      <c r="A249" s="869" t="s">
        <v>2076</v>
      </c>
      <c r="B249" s="871">
        <f>'[1]PLAN DE DESARROLLO 2024 - 2027'!$K$92</f>
        <v>0.27017707911062067</v>
      </c>
      <c r="C249" s="869" t="s">
        <v>2105</v>
      </c>
      <c r="D249" s="872">
        <f>'[1]PLAN DE DESARROLLO 2024 - 2027'!$K$116</f>
        <v>0.23817818229753918</v>
      </c>
      <c r="E249" s="869" t="s">
        <v>2106</v>
      </c>
      <c r="F249" s="872">
        <f>'[1]PLAN DE DESARROLLO 2024 - 2027'!$K$117</f>
        <v>0.30715959252971137</v>
      </c>
      <c r="G249" s="869" t="s">
        <v>768</v>
      </c>
      <c r="H249" s="869" t="s">
        <v>1464</v>
      </c>
      <c r="I249" s="901">
        <f>+'Desarrollo Economico'!Z103</f>
        <v>0.32371250707413696</v>
      </c>
      <c r="J249" s="869" t="s">
        <v>767</v>
      </c>
      <c r="K249" s="873" t="s">
        <v>2004</v>
      </c>
      <c r="P249"/>
    </row>
    <row r="250" spans="1:16" ht="29.4" thickBot="1" x14ac:dyDescent="0.35">
      <c r="A250" s="869" t="s">
        <v>2076</v>
      </c>
      <c r="B250" s="871">
        <f>'[1]PLAN DE DESARROLLO 2024 - 2027'!$K$92</f>
        <v>0.27017707911062067</v>
      </c>
      <c r="C250" s="869" t="s">
        <v>2105</v>
      </c>
      <c r="D250" s="872">
        <f>'[1]PLAN DE DESARROLLO 2024 - 2027'!$K$116</f>
        <v>0.23817818229753918</v>
      </c>
      <c r="E250" s="869" t="s">
        <v>2106</v>
      </c>
      <c r="F250" s="872">
        <f>'[1]PLAN DE DESARROLLO 2024 - 2027'!$K$117</f>
        <v>0.30715959252971137</v>
      </c>
      <c r="G250" s="869" t="s">
        <v>769</v>
      </c>
      <c r="H250" s="869" t="s">
        <v>1465</v>
      </c>
      <c r="I250" s="901">
        <f>+'Desarrollo Economico'!Z104</f>
        <v>0.4</v>
      </c>
      <c r="J250" s="869" t="s">
        <v>767</v>
      </c>
      <c r="K250" s="873" t="s">
        <v>2004</v>
      </c>
      <c r="P250"/>
    </row>
    <row r="251" spans="1:16" ht="29.4" thickBot="1" x14ac:dyDescent="0.35">
      <c r="A251" s="869" t="s">
        <v>2076</v>
      </c>
      <c r="B251" s="871">
        <f>'[1]PLAN DE DESARROLLO 2024 - 2027'!$K$92</f>
        <v>0.27017707911062067</v>
      </c>
      <c r="C251" s="869" t="s">
        <v>2105</v>
      </c>
      <c r="D251" s="872">
        <f>'[1]PLAN DE DESARROLLO 2024 - 2027'!$K$116</f>
        <v>0.23817818229753918</v>
      </c>
      <c r="E251" s="869" t="s">
        <v>2106</v>
      </c>
      <c r="F251" s="872">
        <f>'[1]PLAN DE DESARROLLO 2024 - 2027'!$K$117</f>
        <v>0.30715959252971137</v>
      </c>
      <c r="G251" s="869" t="s">
        <v>770</v>
      </c>
      <c r="H251" s="869" t="s">
        <v>1466</v>
      </c>
      <c r="I251" s="901">
        <f>+'Desarrollo Economico'!Z105</f>
        <v>0.55000000000000004</v>
      </c>
      <c r="J251" s="869" t="s">
        <v>767</v>
      </c>
      <c r="K251" s="873" t="s">
        <v>2004</v>
      </c>
      <c r="P251"/>
    </row>
    <row r="252" spans="1:16" ht="43.8" thickBot="1" x14ac:dyDescent="0.35">
      <c r="A252" s="869" t="s">
        <v>2076</v>
      </c>
      <c r="B252" s="871">
        <f>'[1]PLAN DE DESARROLLO 2024 - 2027'!$K$92</f>
        <v>0.27017707911062067</v>
      </c>
      <c r="C252" s="869" t="s">
        <v>2105</v>
      </c>
      <c r="D252" s="872">
        <f>'[1]PLAN DE DESARROLLO 2024 - 2027'!$K$116</f>
        <v>0.23817818229753918</v>
      </c>
      <c r="E252" s="869" t="s">
        <v>2106</v>
      </c>
      <c r="F252" s="872">
        <f>'[1]PLAN DE DESARROLLO 2024 - 2027'!$K$117</f>
        <v>0.30715959252971137</v>
      </c>
      <c r="G252" s="869" t="s">
        <v>771</v>
      </c>
      <c r="H252" s="869" t="s">
        <v>1467</v>
      </c>
      <c r="I252" s="901">
        <f>+'Desarrollo Economico'!Z106</f>
        <v>0.66666666666666663</v>
      </c>
      <c r="J252" s="869" t="s">
        <v>767</v>
      </c>
      <c r="K252" s="873" t="s">
        <v>2004</v>
      </c>
      <c r="P252"/>
    </row>
    <row r="253" spans="1:16" ht="46.8" customHeight="1" thickBot="1" x14ac:dyDescent="0.35">
      <c r="A253" s="869" t="s">
        <v>2076</v>
      </c>
      <c r="B253" s="871">
        <f>'[1]PLAN DE DESARROLLO 2024 - 2027'!$K$92</f>
        <v>0.27017707911062067</v>
      </c>
      <c r="C253" s="869" t="s">
        <v>2105</v>
      </c>
      <c r="D253" s="872">
        <f>'[1]PLAN DE DESARROLLO 2024 - 2027'!$K$116</f>
        <v>0.23817818229753918</v>
      </c>
      <c r="E253" s="869" t="s">
        <v>2107</v>
      </c>
      <c r="F253" s="872">
        <f>'[1]PLAN DE DESARROLLO 2024 - 2027'!$K$118</f>
        <v>0.15737495436290616</v>
      </c>
      <c r="G253" s="869" t="s">
        <v>772</v>
      </c>
      <c r="H253" s="869" t="s">
        <v>1468</v>
      </c>
      <c r="I253" s="902">
        <f>+'Desarrollo Economico'!Z108</f>
        <v>0</v>
      </c>
      <c r="J253" s="869" t="s">
        <v>767</v>
      </c>
      <c r="K253" s="873" t="s">
        <v>2004</v>
      </c>
      <c r="P253"/>
    </row>
    <row r="254" spans="1:16" ht="43.8" thickBot="1" x14ac:dyDescent="0.35">
      <c r="A254" s="869" t="s">
        <v>2076</v>
      </c>
      <c r="B254" s="871">
        <f>'[1]PLAN DE DESARROLLO 2024 - 2027'!$K$92</f>
        <v>0.27017707911062067</v>
      </c>
      <c r="C254" s="869" t="s">
        <v>2105</v>
      </c>
      <c r="D254" s="872">
        <f>'[1]PLAN DE DESARROLLO 2024 - 2027'!$K$116</f>
        <v>0.23817818229753918</v>
      </c>
      <c r="E254" s="869" t="s">
        <v>2107</v>
      </c>
      <c r="F254" s="872">
        <f>'[1]PLAN DE DESARROLLO 2024 - 2027'!$K$118</f>
        <v>0.15737495436290616</v>
      </c>
      <c r="G254" s="869" t="s">
        <v>773</v>
      </c>
      <c r="H254" s="869" t="s">
        <v>1469</v>
      </c>
      <c r="I254" s="901">
        <f>+'Desarrollo Economico'!Z109</f>
        <v>0.64129244249726181</v>
      </c>
      <c r="J254" s="869" t="s">
        <v>767</v>
      </c>
      <c r="K254" s="873" t="s">
        <v>2004</v>
      </c>
      <c r="P254"/>
    </row>
    <row r="255" spans="1:16" ht="43.8" thickBot="1" x14ac:dyDescent="0.35">
      <c r="A255" s="869" t="s">
        <v>2076</v>
      </c>
      <c r="B255" s="871">
        <f>'[1]PLAN DE DESARROLLO 2024 - 2027'!$K$92</f>
        <v>0.27017707911062067</v>
      </c>
      <c r="C255" s="869" t="s">
        <v>2105</v>
      </c>
      <c r="D255" s="872">
        <f>'[1]PLAN DE DESARROLLO 2024 - 2027'!$K$116</f>
        <v>0.23817818229753918</v>
      </c>
      <c r="E255" s="869" t="s">
        <v>2107</v>
      </c>
      <c r="F255" s="872">
        <f>'[1]PLAN DE DESARROLLO 2024 - 2027'!$K$118</f>
        <v>0.15737495436290616</v>
      </c>
      <c r="G255" s="869" t="s">
        <v>774</v>
      </c>
      <c r="H255" s="869" t="s">
        <v>1470</v>
      </c>
      <c r="I255" s="902">
        <f>+'Desarrollo Economico'!Z110</f>
        <v>0</v>
      </c>
      <c r="J255" s="869" t="s">
        <v>767</v>
      </c>
      <c r="K255" s="873" t="s">
        <v>2004</v>
      </c>
      <c r="P255"/>
    </row>
    <row r="256" spans="1:16" ht="43.8" thickBot="1" x14ac:dyDescent="0.35">
      <c r="A256" s="869" t="s">
        <v>2076</v>
      </c>
      <c r="B256" s="871">
        <f>'[1]PLAN DE DESARROLLO 2024 - 2027'!$K$92</f>
        <v>0.27017707911062067</v>
      </c>
      <c r="C256" s="869" t="s">
        <v>2105</v>
      </c>
      <c r="D256" s="872">
        <f>'[1]PLAN DE DESARROLLO 2024 - 2027'!$K$116</f>
        <v>0.23817818229753918</v>
      </c>
      <c r="E256" s="869" t="s">
        <v>2107</v>
      </c>
      <c r="F256" s="872">
        <f>'[1]PLAN DE DESARROLLO 2024 - 2027'!$K$118</f>
        <v>0.15737495436290616</v>
      </c>
      <c r="G256" s="869" t="s">
        <v>775</v>
      </c>
      <c r="H256" s="869" t="s">
        <v>1471</v>
      </c>
      <c r="I256" s="901">
        <f>+'Desarrollo Economico'!Z111</f>
        <v>0.55000000000000004</v>
      </c>
      <c r="J256" s="869" t="s">
        <v>767</v>
      </c>
      <c r="K256" s="873" t="s">
        <v>2004</v>
      </c>
      <c r="P256"/>
    </row>
    <row r="257" spans="1:16" ht="43.8" thickBot="1" x14ac:dyDescent="0.35">
      <c r="A257" s="869" t="s">
        <v>2076</v>
      </c>
      <c r="B257" s="871">
        <f>'[1]PLAN DE DESARROLLO 2024 - 2027'!$K$92</f>
        <v>0.27017707911062067</v>
      </c>
      <c r="C257" s="869" t="s">
        <v>2105</v>
      </c>
      <c r="D257" s="872">
        <f>'[1]PLAN DE DESARROLLO 2024 - 2027'!$K$116</f>
        <v>0.23817818229753918</v>
      </c>
      <c r="E257" s="869" t="s">
        <v>2107</v>
      </c>
      <c r="F257" s="872">
        <f>'[1]PLAN DE DESARROLLO 2024 - 2027'!$K$118</f>
        <v>0.15737495436290616</v>
      </c>
      <c r="G257" s="869" t="s">
        <v>776</v>
      </c>
      <c r="H257" s="869" t="s">
        <v>1472</v>
      </c>
      <c r="I257" s="902">
        <f>+'Desarrollo Economico'!Z112</f>
        <v>1</v>
      </c>
      <c r="J257" s="869" t="s">
        <v>767</v>
      </c>
      <c r="K257" s="873" t="s">
        <v>2004</v>
      </c>
      <c r="P257"/>
    </row>
    <row r="258" spans="1:16" ht="43.8" thickBot="1" x14ac:dyDescent="0.35">
      <c r="A258" s="869" t="s">
        <v>2076</v>
      </c>
      <c r="B258" s="871">
        <f>'[1]PLAN DE DESARROLLO 2024 - 2027'!$K$92</f>
        <v>0.27017707911062067</v>
      </c>
      <c r="C258" s="869" t="s">
        <v>2105</v>
      </c>
      <c r="D258" s="872">
        <f>'[1]PLAN DE DESARROLLO 2024 - 2027'!$K$116</f>
        <v>0.23817818229753918</v>
      </c>
      <c r="E258" s="869" t="s">
        <v>2107</v>
      </c>
      <c r="F258" s="872">
        <f>'[1]PLAN DE DESARROLLO 2024 - 2027'!$K$118</f>
        <v>0.15737495436290616</v>
      </c>
      <c r="G258" s="869" t="s">
        <v>777</v>
      </c>
      <c r="H258" s="869" t="s">
        <v>1473</v>
      </c>
      <c r="I258" s="902">
        <f>+'Desarrollo Economico'!Z113</f>
        <v>0</v>
      </c>
      <c r="J258" s="869" t="s">
        <v>767</v>
      </c>
      <c r="K258" s="873" t="s">
        <v>2004</v>
      </c>
      <c r="P258"/>
    </row>
    <row r="259" spans="1:16" ht="43.8" thickBot="1" x14ac:dyDescent="0.35">
      <c r="A259" s="869" t="s">
        <v>2076</v>
      </c>
      <c r="B259" s="871">
        <f>'[1]PLAN DE DESARROLLO 2024 - 2027'!$K$92</f>
        <v>0.27017707911062067</v>
      </c>
      <c r="C259" s="869" t="s">
        <v>2105</v>
      </c>
      <c r="D259" s="872">
        <f>'[1]PLAN DE DESARROLLO 2024 - 2027'!$K$116</f>
        <v>0.23817818229753918</v>
      </c>
      <c r="E259" s="869" t="s">
        <v>2107</v>
      </c>
      <c r="F259" s="872">
        <f>'[1]PLAN DE DESARROLLO 2024 - 2027'!$K$118</f>
        <v>0.15737495436290616</v>
      </c>
      <c r="G259" s="869" t="s">
        <v>778</v>
      </c>
      <c r="H259" s="869" t="s">
        <v>1474</v>
      </c>
      <c r="I259" s="901">
        <f>+'Desarrollo Economico'!Z114</f>
        <v>0.5</v>
      </c>
      <c r="J259" s="869" t="s">
        <v>767</v>
      </c>
      <c r="K259" s="873" t="s">
        <v>2004</v>
      </c>
      <c r="P259"/>
    </row>
    <row r="260" spans="1:16" ht="43.8" thickBot="1" x14ac:dyDescent="0.35">
      <c r="A260" s="869" t="s">
        <v>2076</v>
      </c>
      <c r="B260" s="871">
        <f>'[1]PLAN DE DESARROLLO 2024 - 2027'!$K$92</f>
        <v>0.27017707911062067</v>
      </c>
      <c r="C260" s="869" t="s">
        <v>2105</v>
      </c>
      <c r="D260" s="872">
        <f>'[1]PLAN DE DESARROLLO 2024 - 2027'!$K$116</f>
        <v>0.23817818229753918</v>
      </c>
      <c r="E260" s="869" t="s">
        <v>2107</v>
      </c>
      <c r="F260" s="872">
        <f>'[1]PLAN DE DESARROLLO 2024 - 2027'!$K$118</f>
        <v>0.15737495436290616</v>
      </c>
      <c r="G260" s="869" t="s">
        <v>779</v>
      </c>
      <c r="H260" s="869" t="s">
        <v>1475</v>
      </c>
      <c r="I260" s="902">
        <f>+'Desarrollo Economico'!Z115</f>
        <v>0</v>
      </c>
      <c r="J260" s="869" t="s">
        <v>2108</v>
      </c>
      <c r="K260" s="873" t="s">
        <v>2004</v>
      </c>
      <c r="P260"/>
    </row>
    <row r="261" spans="1:16" ht="43.8" thickBot="1" x14ac:dyDescent="0.35">
      <c r="A261" s="869" t="s">
        <v>2076</v>
      </c>
      <c r="B261" s="871">
        <f>'[1]PLAN DE DESARROLLO 2024 - 2027'!$K$92</f>
        <v>0.27017707911062067</v>
      </c>
      <c r="C261" s="869" t="s">
        <v>2105</v>
      </c>
      <c r="D261" s="872">
        <f>'[1]PLAN DE DESARROLLO 2024 - 2027'!$K$116</f>
        <v>0.23817818229753918</v>
      </c>
      <c r="E261" s="869" t="s">
        <v>2107</v>
      </c>
      <c r="F261" s="872">
        <f>'[1]PLAN DE DESARROLLO 2024 - 2027'!$K$118</f>
        <v>0.15737495436290616</v>
      </c>
      <c r="G261" s="869" t="s">
        <v>781</v>
      </c>
      <c r="H261" s="869" t="s">
        <v>1476</v>
      </c>
      <c r="I261" s="902">
        <f>+'Desarrollo Economico'!Z116</f>
        <v>0</v>
      </c>
      <c r="J261" s="869" t="s">
        <v>2109</v>
      </c>
      <c r="K261" s="873" t="s">
        <v>2004</v>
      </c>
      <c r="P261"/>
    </row>
    <row r="262" spans="1:16" ht="15" thickBot="1" x14ac:dyDescent="0.35">
      <c r="A262" s="869" t="s">
        <v>2076</v>
      </c>
      <c r="B262" s="871">
        <f>'[1]PLAN DE DESARROLLO 2024 - 2027'!$K$92</f>
        <v>0.27017707911062067</v>
      </c>
      <c r="C262" s="869" t="s">
        <v>2105</v>
      </c>
      <c r="D262" s="872">
        <f>'[1]PLAN DE DESARROLLO 2024 - 2027'!$K$116</f>
        <v>0.23817818229753918</v>
      </c>
      <c r="E262" s="869" t="s">
        <v>2110</v>
      </c>
      <c r="F262" s="872">
        <f>'[1]PLAN DE DESARROLLO 2024 - 2027'!$K$119</f>
        <v>0.25</v>
      </c>
      <c r="G262" s="869" t="s">
        <v>784</v>
      </c>
      <c r="H262" s="869" t="s">
        <v>1477</v>
      </c>
      <c r="I262" s="901">
        <f>+'Desarrollo Economico'!Z118</f>
        <v>0.25</v>
      </c>
      <c r="J262" s="869" t="s">
        <v>767</v>
      </c>
      <c r="K262" s="873" t="s">
        <v>2004</v>
      </c>
      <c r="P262"/>
    </row>
    <row r="263" spans="1:16" ht="29.4" thickBot="1" x14ac:dyDescent="0.35">
      <c r="A263" s="869" t="s">
        <v>2076</v>
      </c>
      <c r="B263" s="871">
        <f>'[1]PLAN DE DESARROLLO 2024 - 2027'!$K$92</f>
        <v>0.27017707911062067</v>
      </c>
      <c r="C263" s="869" t="s">
        <v>2105</v>
      </c>
      <c r="D263" s="872">
        <f>'[1]PLAN DE DESARROLLO 2024 - 2027'!$K$116</f>
        <v>0.23817818229753918</v>
      </c>
      <c r="E263" s="869" t="s">
        <v>2110</v>
      </c>
      <c r="F263" s="872">
        <f>'[1]PLAN DE DESARROLLO 2024 - 2027'!$K$119</f>
        <v>0.25</v>
      </c>
      <c r="G263" s="869" t="s">
        <v>785</v>
      </c>
      <c r="H263" s="869" t="s">
        <v>1478</v>
      </c>
      <c r="I263" s="901">
        <f>+'Desarrollo Economico'!Z119</f>
        <v>0.5</v>
      </c>
      <c r="J263" s="869" t="s">
        <v>767</v>
      </c>
      <c r="K263" s="873" t="s">
        <v>2004</v>
      </c>
      <c r="P263"/>
    </row>
    <row r="264" spans="1:16" ht="15" thickBot="1" x14ac:dyDescent="0.35">
      <c r="A264" s="869" t="s">
        <v>2076</v>
      </c>
      <c r="B264" s="871">
        <f>'[1]PLAN DE DESARROLLO 2024 - 2027'!$K$92</f>
        <v>0.27017707911062067</v>
      </c>
      <c r="C264" s="869" t="s">
        <v>2105</v>
      </c>
      <c r="D264" s="872">
        <f>'[1]PLAN DE DESARROLLO 2024 - 2027'!$K$116</f>
        <v>0.23817818229753918</v>
      </c>
      <c r="E264" s="869" t="s">
        <v>2110</v>
      </c>
      <c r="F264" s="872">
        <f>'[1]PLAN DE DESARROLLO 2024 - 2027'!$K$119</f>
        <v>0.25</v>
      </c>
      <c r="G264" s="869" t="s">
        <v>786</v>
      </c>
      <c r="H264" s="869" t="s">
        <v>1479</v>
      </c>
      <c r="I264" s="902">
        <f>+'Desarrollo Economico'!Z120</f>
        <v>0</v>
      </c>
      <c r="J264" s="869" t="s">
        <v>767</v>
      </c>
      <c r="K264" s="873" t="s">
        <v>2004</v>
      </c>
      <c r="P264"/>
    </row>
    <row r="265" spans="1:16" ht="15" thickBot="1" x14ac:dyDescent="0.35">
      <c r="A265" s="869" t="s">
        <v>2076</v>
      </c>
      <c r="B265" s="871">
        <f>'[1]PLAN DE DESARROLLO 2024 - 2027'!$K$92</f>
        <v>0.27017707911062067</v>
      </c>
      <c r="C265" s="869" t="s">
        <v>2105</v>
      </c>
      <c r="D265" s="872">
        <f>'[1]PLAN DE DESARROLLO 2024 - 2027'!$K$116</f>
        <v>0.23817818229753918</v>
      </c>
      <c r="E265" s="869" t="s">
        <v>2110</v>
      </c>
      <c r="F265" s="872">
        <f>'[1]PLAN DE DESARROLLO 2024 - 2027'!$K$119</f>
        <v>0.25</v>
      </c>
      <c r="G265" s="869" t="s">
        <v>787</v>
      </c>
      <c r="H265" s="869" t="s">
        <v>1480</v>
      </c>
      <c r="I265" s="901">
        <f>+'Desarrollo Economico'!Z121</f>
        <v>1</v>
      </c>
      <c r="J265" s="869" t="s">
        <v>767</v>
      </c>
      <c r="K265" s="873" t="s">
        <v>2004</v>
      </c>
      <c r="P265"/>
    </row>
    <row r="266" spans="1:16" ht="29.4" thickBot="1" x14ac:dyDescent="0.35">
      <c r="A266" s="869" t="s">
        <v>2076</v>
      </c>
      <c r="B266" s="871">
        <f>'[1]PLAN DE DESARROLLO 2024 - 2027'!$K$92</f>
        <v>0.27017707911062067</v>
      </c>
      <c r="C266" s="869" t="s">
        <v>2105</v>
      </c>
      <c r="D266" s="872">
        <f>'[1]PLAN DE DESARROLLO 2024 - 2027'!$K$116</f>
        <v>0.23817818229753918</v>
      </c>
      <c r="E266" s="869" t="s">
        <v>2110</v>
      </c>
      <c r="F266" s="872">
        <f>'[1]PLAN DE DESARROLLO 2024 - 2027'!$K$119</f>
        <v>0.25</v>
      </c>
      <c r="G266" s="869" t="s">
        <v>788</v>
      </c>
      <c r="H266" s="869" t="s">
        <v>1481</v>
      </c>
      <c r="I266" s="901">
        <f>+'Desarrollo Economico'!Z122</f>
        <v>0.2</v>
      </c>
      <c r="J266" s="869" t="s">
        <v>2111</v>
      </c>
      <c r="K266" s="873" t="s">
        <v>2004</v>
      </c>
      <c r="P266"/>
    </row>
    <row r="267" spans="1:16" ht="29.4" thickBot="1" x14ac:dyDescent="0.35">
      <c r="A267" s="869" t="s">
        <v>2076</v>
      </c>
      <c r="B267" s="871">
        <f>'[1]PLAN DE DESARROLLO 2024 - 2027'!$K$92</f>
        <v>0.27017707911062067</v>
      </c>
      <c r="C267" s="869" t="s">
        <v>2105</v>
      </c>
      <c r="D267" s="872">
        <f>'[1]PLAN DE DESARROLLO 2024 - 2027'!$K$116</f>
        <v>0.23817818229753918</v>
      </c>
      <c r="E267" s="869" t="s">
        <v>2110</v>
      </c>
      <c r="F267" s="872">
        <f>'[1]PLAN DE DESARROLLO 2024 - 2027'!$K$119</f>
        <v>0.25</v>
      </c>
      <c r="G267" s="869" t="s">
        <v>789</v>
      </c>
      <c r="H267" s="869" t="s">
        <v>1482</v>
      </c>
      <c r="I267" s="901">
        <f>+'Desarrollo Economico'!Z123</f>
        <v>0.2</v>
      </c>
      <c r="J267" s="869" t="s">
        <v>2112</v>
      </c>
      <c r="K267" s="873" t="s">
        <v>2004</v>
      </c>
      <c r="P267"/>
    </row>
    <row r="268" spans="1:16" ht="87" thickBot="1" x14ac:dyDescent="0.35">
      <c r="A268" s="869" t="s">
        <v>2076</v>
      </c>
      <c r="B268" s="871">
        <f>'[1]PLAN DE DESARROLLO 2024 - 2027'!$K$92</f>
        <v>0.27017707911062067</v>
      </c>
      <c r="C268" s="869" t="s">
        <v>2113</v>
      </c>
      <c r="D268" s="872">
        <f>'[1]PLAN DE DESARROLLO 2024 - 2027'!$K$120</f>
        <v>0.24676666666666666</v>
      </c>
      <c r="E268" s="869" t="s">
        <v>2114</v>
      </c>
      <c r="F268" s="872">
        <f>'[1]PLAN DE DESARROLLO 2024 - 2027'!$K$121</f>
        <v>9.9999999999999992E-2</v>
      </c>
      <c r="G268" s="869" t="s">
        <v>791</v>
      </c>
      <c r="H268" s="869" t="s">
        <v>2115</v>
      </c>
      <c r="I268" s="901">
        <f>+'Desarrollo Economico'!Z126</f>
        <v>0.47666666666666663</v>
      </c>
      <c r="J268" s="869" t="s">
        <v>2116</v>
      </c>
      <c r="K268" s="873" t="s">
        <v>2004</v>
      </c>
      <c r="P268"/>
    </row>
    <row r="269" spans="1:16" ht="43.8" thickBot="1" x14ac:dyDescent="0.35">
      <c r="A269" s="869" t="s">
        <v>2076</v>
      </c>
      <c r="B269" s="871">
        <f>'[1]PLAN DE DESARROLLO 2024 - 2027'!$K$92</f>
        <v>0.27017707911062067</v>
      </c>
      <c r="C269" s="869" t="s">
        <v>2113</v>
      </c>
      <c r="D269" s="872">
        <f>'[1]PLAN DE DESARROLLO 2024 - 2027'!$K$120</f>
        <v>0.24676666666666666</v>
      </c>
      <c r="E269" s="869" t="s">
        <v>2114</v>
      </c>
      <c r="F269" s="872">
        <f>'[1]PLAN DE DESARROLLO 2024 - 2027'!$K$121</f>
        <v>9.9999999999999992E-2</v>
      </c>
      <c r="G269" s="869" t="s">
        <v>793</v>
      </c>
      <c r="H269" s="869" t="s">
        <v>1484</v>
      </c>
      <c r="I269" s="902">
        <f>+'Desarrollo Economico'!Z127</f>
        <v>0</v>
      </c>
      <c r="J269" s="869" t="s">
        <v>1540</v>
      </c>
      <c r="K269" s="873" t="s">
        <v>2004</v>
      </c>
      <c r="P269"/>
    </row>
    <row r="270" spans="1:16" ht="43.8" thickBot="1" x14ac:dyDescent="0.35">
      <c r="A270" s="869" t="s">
        <v>2076</v>
      </c>
      <c r="B270" s="871">
        <f>'[1]PLAN DE DESARROLLO 2024 - 2027'!$K$92</f>
        <v>0.27017707911062067</v>
      </c>
      <c r="C270" s="869" t="s">
        <v>2113</v>
      </c>
      <c r="D270" s="872">
        <f>'[1]PLAN DE DESARROLLO 2024 - 2027'!$K$120</f>
        <v>0.24676666666666666</v>
      </c>
      <c r="E270" s="869" t="s">
        <v>2114</v>
      </c>
      <c r="F270" s="872">
        <f>'[1]PLAN DE DESARROLLO 2024 - 2027'!$K$121</f>
        <v>9.9999999999999992E-2</v>
      </c>
      <c r="G270" s="869" t="s">
        <v>795</v>
      </c>
      <c r="H270" s="869" t="s">
        <v>1485</v>
      </c>
      <c r="I270" s="902">
        <f>+'Desarrollo Economico'!Z128</f>
        <v>0</v>
      </c>
      <c r="J270" s="869" t="s">
        <v>1540</v>
      </c>
      <c r="K270" s="873" t="s">
        <v>2004</v>
      </c>
      <c r="P270"/>
    </row>
    <row r="271" spans="1:16" ht="29.4" thickBot="1" x14ac:dyDescent="0.35">
      <c r="A271" s="869" t="s">
        <v>2076</v>
      </c>
      <c r="B271" s="871">
        <f>'[1]PLAN DE DESARROLLO 2024 - 2027'!$K$92</f>
        <v>0.27017707911062067</v>
      </c>
      <c r="C271" s="869" t="s">
        <v>2113</v>
      </c>
      <c r="D271" s="872">
        <f>'[1]PLAN DE DESARROLLO 2024 - 2027'!$K$120</f>
        <v>0.24676666666666666</v>
      </c>
      <c r="E271" s="869" t="s">
        <v>2117</v>
      </c>
      <c r="F271" s="872">
        <f>'[1]PLAN DE DESARROLLO 2024 - 2027'!$K$122</f>
        <v>0.39353333333333335</v>
      </c>
      <c r="G271" s="869" t="s">
        <v>796</v>
      </c>
      <c r="H271" s="869" t="s">
        <v>1486</v>
      </c>
      <c r="I271" s="901">
        <f>+'Desarrollo Economico'!Z130</f>
        <v>0.5</v>
      </c>
      <c r="J271" s="869" t="s">
        <v>516</v>
      </c>
      <c r="K271" s="873" t="s">
        <v>2004</v>
      </c>
      <c r="P271"/>
    </row>
    <row r="272" spans="1:16" ht="29.4" thickBot="1" x14ac:dyDescent="0.35">
      <c r="A272" s="869" t="s">
        <v>2076</v>
      </c>
      <c r="B272" s="871">
        <f>'[1]PLAN DE DESARROLLO 2024 - 2027'!$K$92</f>
        <v>0.27017707911062067</v>
      </c>
      <c r="C272" s="869" t="s">
        <v>2113</v>
      </c>
      <c r="D272" s="872">
        <f>'[1]PLAN DE DESARROLLO 2024 - 2027'!$K$120</f>
        <v>0.24676666666666666</v>
      </c>
      <c r="E272" s="869" t="s">
        <v>2117</v>
      </c>
      <c r="F272" s="872">
        <f>'[1]PLAN DE DESARROLLO 2024 - 2027'!$K$122</f>
        <v>0.39353333333333335</v>
      </c>
      <c r="G272" s="869" t="s">
        <v>797</v>
      </c>
      <c r="H272" s="869" t="s">
        <v>1487</v>
      </c>
      <c r="I272" s="901">
        <f>+'Desarrollo Economico'!Z131</f>
        <v>0.5</v>
      </c>
      <c r="J272" s="869" t="s">
        <v>516</v>
      </c>
      <c r="K272" s="873" t="s">
        <v>2004</v>
      </c>
      <c r="P272"/>
    </row>
    <row r="273" spans="1:16" ht="43.8" thickBot="1" x14ac:dyDescent="0.35">
      <c r="A273" s="869" t="s">
        <v>2076</v>
      </c>
      <c r="B273" s="871">
        <f>'[1]PLAN DE DESARROLLO 2024 - 2027'!$K$92</f>
        <v>0.27017707911062067</v>
      </c>
      <c r="C273" s="869" t="s">
        <v>2113</v>
      </c>
      <c r="D273" s="872">
        <f>'[1]PLAN DE DESARROLLO 2024 - 2027'!$K$120</f>
        <v>0.24676666666666666</v>
      </c>
      <c r="E273" s="869" t="s">
        <v>2117</v>
      </c>
      <c r="F273" s="872">
        <f>'[1]PLAN DE DESARROLLO 2024 - 2027'!$K$122</f>
        <v>0.39353333333333335</v>
      </c>
      <c r="G273" s="869" t="s">
        <v>798</v>
      </c>
      <c r="H273" s="869" t="s">
        <v>1488</v>
      </c>
      <c r="I273" s="901">
        <f>+'Desarrollo Economico'!Z132</f>
        <v>0.68059999999999998</v>
      </c>
      <c r="J273" s="869" t="s">
        <v>516</v>
      </c>
      <c r="K273" s="873" t="s">
        <v>2004</v>
      </c>
      <c r="P273"/>
    </row>
    <row r="274" spans="1:16" ht="29.4" thickBot="1" x14ac:dyDescent="0.35">
      <c r="A274" s="869" t="s">
        <v>2118</v>
      </c>
      <c r="B274" s="871">
        <f>'[1]PLAN DE DESARROLLO 2024 - 2027'!$K$161</f>
        <v>0.25845384584399683</v>
      </c>
      <c r="C274" s="869" t="s">
        <v>2119</v>
      </c>
      <c r="D274" s="871">
        <f>'[1]PLAN DE DESARROLLO 2024 - 2027'!$J$162</f>
        <v>0.21</v>
      </c>
      <c r="E274" s="869" t="s">
        <v>1820</v>
      </c>
      <c r="F274" s="872">
        <f>'[1]PLAN DE DESARROLLO 2024 - 2027'!$K$163</f>
        <v>2.5000000000000001E-2</v>
      </c>
      <c r="G274" s="869" t="s">
        <v>955</v>
      </c>
      <c r="H274" s="869" t="s">
        <v>1161</v>
      </c>
      <c r="I274" s="901">
        <f>+'Innovación Pública'!Z6</f>
        <v>0.35</v>
      </c>
      <c r="J274" s="869" t="s">
        <v>516</v>
      </c>
      <c r="K274" s="873" t="s">
        <v>2004</v>
      </c>
      <c r="P274"/>
    </row>
    <row r="275" spans="1:16" ht="29.4" thickBot="1" x14ac:dyDescent="0.35">
      <c r="A275" s="869" t="s">
        <v>2118</v>
      </c>
      <c r="B275" s="871">
        <f>'[1]PLAN DE DESARROLLO 2024 - 2027'!$J$161</f>
        <v>0.21734598565460142</v>
      </c>
      <c r="C275" s="869" t="s">
        <v>2119</v>
      </c>
      <c r="D275" s="871">
        <f>'[1]PLAN DE DESARROLLO 2024 - 2027'!$K$162</f>
        <v>0.19166666666666665</v>
      </c>
      <c r="E275" s="869" t="s">
        <v>1820</v>
      </c>
      <c r="F275" s="872">
        <f>'[1]PLAN DE DESARROLLO 2024 - 2027'!$K$163</f>
        <v>2.5000000000000001E-2</v>
      </c>
      <c r="G275" s="869" t="s">
        <v>956</v>
      </c>
      <c r="H275" s="869" t="s">
        <v>1162</v>
      </c>
      <c r="I275" s="902">
        <f>+'Innovación Pública'!Z7</f>
        <v>0</v>
      </c>
      <c r="J275" s="869" t="s">
        <v>516</v>
      </c>
      <c r="K275" s="873" t="s">
        <v>2004</v>
      </c>
      <c r="P275"/>
    </row>
    <row r="276" spans="1:16" ht="29.4" thickBot="1" x14ac:dyDescent="0.35">
      <c r="A276" s="869" t="s">
        <v>2118</v>
      </c>
      <c r="B276" s="871">
        <f>'[1]PLAN DE DESARROLLO 2024 - 2027'!$J$161</f>
        <v>0.21734598565460142</v>
      </c>
      <c r="C276" s="869" t="s">
        <v>2119</v>
      </c>
      <c r="D276" s="871">
        <f>'[1]PLAN DE DESARROLLO 2024 - 2027'!$K$162</f>
        <v>0.19166666666666665</v>
      </c>
      <c r="E276" s="869" t="s">
        <v>1820</v>
      </c>
      <c r="F276" s="872">
        <f>'[1]PLAN DE DESARROLLO 2024 - 2027'!$K$163</f>
        <v>2.5000000000000001E-2</v>
      </c>
      <c r="G276" s="869" t="s">
        <v>957</v>
      </c>
      <c r="H276" s="869" t="s">
        <v>1163</v>
      </c>
      <c r="I276" s="902">
        <f>+'Innovación Pública'!Z8</f>
        <v>0</v>
      </c>
      <c r="J276" s="869" t="s">
        <v>516</v>
      </c>
      <c r="K276" s="873" t="s">
        <v>2004</v>
      </c>
      <c r="P276"/>
    </row>
    <row r="277" spans="1:16" ht="29.4" thickBot="1" x14ac:dyDescent="0.35">
      <c r="A277" s="869" t="s">
        <v>2118</v>
      </c>
      <c r="B277" s="871">
        <f>'[1]PLAN DE DESARROLLO 2024 - 2027'!$J$161</f>
        <v>0.21734598565460142</v>
      </c>
      <c r="C277" s="869" t="s">
        <v>2120</v>
      </c>
      <c r="D277" s="872">
        <f>'[1]PLAN DE DESARROLLO 2024 - 2027'!$K$166</f>
        <v>0.22116069173966579</v>
      </c>
      <c r="E277" s="869" t="s">
        <v>2121</v>
      </c>
      <c r="F277" s="872">
        <f>'[1]PLAN DE DESARROLLO 2024 - 2027'!$K$171</f>
        <v>0.16666666666666666</v>
      </c>
      <c r="G277" s="869" t="s">
        <v>979</v>
      </c>
      <c r="H277" s="869" t="s">
        <v>1180</v>
      </c>
      <c r="I277" s="901">
        <f>+'Innovación Pública'!Z33</f>
        <v>1</v>
      </c>
      <c r="J277" s="869" t="s">
        <v>516</v>
      </c>
      <c r="K277" s="873" t="s">
        <v>2004</v>
      </c>
      <c r="P277"/>
    </row>
    <row r="278" spans="1:16" ht="29.4" thickBot="1" x14ac:dyDescent="0.35">
      <c r="A278" s="869" t="s">
        <v>2118</v>
      </c>
      <c r="B278" s="871">
        <f>'[1]PLAN DE DESARROLLO 2024 - 2027'!$J$161</f>
        <v>0.21734598565460142</v>
      </c>
      <c r="C278" s="869" t="s">
        <v>2120</v>
      </c>
      <c r="D278" s="872">
        <f>'[1]PLAN DE DESARROLLO 2024 - 2027'!$K$166</f>
        <v>0.22116069173966579</v>
      </c>
      <c r="E278" s="869" t="s">
        <v>2121</v>
      </c>
      <c r="F278" s="872">
        <f>'[1]PLAN DE DESARROLLO 2024 - 2027'!$K$171</f>
        <v>0.16666666666666666</v>
      </c>
      <c r="G278" s="869" t="s">
        <v>980</v>
      </c>
      <c r="H278" s="869" t="s">
        <v>1181</v>
      </c>
      <c r="I278" s="901">
        <f>+'Innovación Pública'!Z34</f>
        <v>1</v>
      </c>
      <c r="J278" s="869" t="s">
        <v>516</v>
      </c>
      <c r="K278" s="873" t="s">
        <v>2004</v>
      </c>
      <c r="P278"/>
    </row>
    <row r="279" spans="1:16" ht="29.4" thickBot="1" x14ac:dyDescent="0.35">
      <c r="A279" s="869" t="s">
        <v>2118</v>
      </c>
      <c r="B279" s="871">
        <f>'[1]PLAN DE DESARROLLO 2024 - 2027'!$J$161</f>
        <v>0.21734598565460142</v>
      </c>
      <c r="C279" s="869" t="s">
        <v>2120</v>
      </c>
      <c r="D279" s="872">
        <f>'[1]PLAN DE DESARROLLO 2024 - 2027'!$K$166</f>
        <v>0.22116069173966579</v>
      </c>
      <c r="E279" s="869" t="s">
        <v>2121</v>
      </c>
      <c r="F279" s="872">
        <f>'[1]PLAN DE DESARROLLO 2024 - 2027'!$K$171</f>
        <v>0.16666666666666666</v>
      </c>
      <c r="G279" s="869" t="s">
        <v>981</v>
      </c>
      <c r="H279" s="869" t="s">
        <v>1182</v>
      </c>
      <c r="I279" s="901">
        <f>+'Innovación Pública'!Z35</f>
        <v>0</v>
      </c>
      <c r="J279" s="869" t="s">
        <v>516</v>
      </c>
      <c r="K279" s="873" t="s">
        <v>2004</v>
      </c>
      <c r="P279"/>
    </row>
    <row r="280" spans="1:16" ht="29.4" thickBot="1" x14ac:dyDescent="0.35">
      <c r="A280" s="869" t="s">
        <v>2118</v>
      </c>
      <c r="B280" s="871">
        <f>'[1]PLAN DE DESARROLLO 2024 - 2027'!$J$161</f>
        <v>0.21734598565460142</v>
      </c>
      <c r="C280" s="869" t="s">
        <v>2120</v>
      </c>
      <c r="D280" s="872">
        <f>'[1]PLAN DE DESARROLLO 2024 - 2027'!$K$166</f>
        <v>0.22116069173966579</v>
      </c>
      <c r="E280" s="869" t="s">
        <v>2122</v>
      </c>
      <c r="F280" s="872">
        <f>'[1]PLAN DE DESARROLLO 2024 - 2027'!$K$173</f>
        <v>0</v>
      </c>
      <c r="G280" s="869" t="s">
        <v>985</v>
      </c>
      <c r="H280" s="869" t="s">
        <v>1186</v>
      </c>
      <c r="I280" s="901">
        <f>+'Innovación Pública'!Z41</f>
        <v>0.1</v>
      </c>
      <c r="J280" s="869" t="s">
        <v>2123</v>
      </c>
      <c r="K280" s="873" t="s">
        <v>2004</v>
      </c>
      <c r="P280"/>
    </row>
    <row r="281" spans="1:16" ht="29.4" thickBot="1" x14ac:dyDescent="0.35">
      <c r="A281" s="869" t="s">
        <v>2118</v>
      </c>
      <c r="B281" s="871">
        <f>'[1]PLAN DE DESARROLLO 2024 - 2027'!$J$161</f>
        <v>0.21734598565460142</v>
      </c>
      <c r="C281" s="869" t="s">
        <v>2120</v>
      </c>
      <c r="D281" s="872">
        <f>'[1]PLAN DE DESARROLLO 2024 - 2027'!$K$166</f>
        <v>0.22116069173966579</v>
      </c>
      <c r="E281" s="869" t="s">
        <v>2122</v>
      </c>
      <c r="F281" s="872">
        <f>'[1]PLAN DE DESARROLLO 2024 - 2027'!$K$173</f>
        <v>0</v>
      </c>
      <c r="G281" s="869" t="s">
        <v>986</v>
      </c>
      <c r="H281" s="869" t="s">
        <v>1187</v>
      </c>
      <c r="I281" s="901">
        <f>+'Innovación Pública'!Z42</f>
        <v>0</v>
      </c>
      <c r="J281" s="869" t="s">
        <v>2123</v>
      </c>
      <c r="K281" s="873" t="s">
        <v>2004</v>
      </c>
      <c r="P281"/>
    </row>
    <row r="282" spans="1:16" ht="29.4" thickBot="1" x14ac:dyDescent="0.35">
      <c r="A282" s="869" t="s">
        <v>2118</v>
      </c>
      <c r="B282" s="871">
        <f>'[1]PLAN DE DESARROLLO 2024 - 2027'!$J$161</f>
        <v>0.21734598565460142</v>
      </c>
      <c r="C282" s="869" t="s">
        <v>2124</v>
      </c>
      <c r="D282" s="871">
        <f>'[1]PLAN DE DESARROLLO 2024 - 2027'!$K$175</f>
        <v>0.30645929363983626</v>
      </c>
      <c r="E282" s="869" t="s">
        <v>2125</v>
      </c>
      <c r="F282" s="872">
        <f>'[1]PLAN DE DESARROLLO 2024 - 2027'!$K$177</f>
        <v>0.25</v>
      </c>
      <c r="G282" s="869" t="s">
        <v>996</v>
      </c>
      <c r="H282" s="869" t="s">
        <v>1196</v>
      </c>
      <c r="I282" s="901">
        <f>+'Innovación Pública'!Z56</f>
        <v>1</v>
      </c>
      <c r="J282" s="869" t="s">
        <v>683</v>
      </c>
      <c r="K282" s="873" t="s">
        <v>2004</v>
      </c>
      <c r="P282"/>
    </row>
    <row r="283" spans="1:16" ht="29.4" thickBot="1" x14ac:dyDescent="0.35">
      <c r="A283" s="869" t="s">
        <v>2118</v>
      </c>
      <c r="B283" s="871">
        <f>'[1]PLAN DE DESARROLLO 2024 - 2027'!$J$161</f>
        <v>0.21734598565460142</v>
      </c>
      <c r="C283" s="869" t="s">
        <v>2126</v>
      </c>
      <c r="D283" s="871">
        <f>'[1]PLAN DE DESARROLLO 2024 - 2027'!$K$184</f>
        <v>0.20161705435056146</v>
      </c>
      <c r="E283" s="869" t="s">
        <v>1833</v>
      </c>
      <c r="F283" s="872">
        <f>'[1]PLAN DE DESARROLLO 2024 - 2027'!$K$187</f>
        <v>0</v>
      </c>
      <c r="G283" s="869" t="s">
        <v>1024</v>
      </c>
      <c r="H283" s="869" t="s">
        <v>1222</v>
      </c>
      <c r="I283" s="901">
        <f>+'Innovación Pública'!Z93</f>
        <v>0</v>
      </c>
      <c r="J283" s="869" t="s">
        <v>2127</v>
      </c>
      <c r="K283" s="873" t="s">
        <v>2004</v>
      </c>
      <c r="P283"/>
    </row>
    <row r="284" spans="1:16" ht="43.8" thickBot="1" x14ac:dyDescent="0.35">
      <c r="A284" s="869" t="s">
        <v>2118</v>
      </c>
      <c r="B284" s="871">
        <f>'[1]PLAN DE DESARROLLO 2024 - 2027'!$J$161</f>
        <v>0.21734598565460142</v>
      </c>
      <c r="C284" s="869" t="s">
        <v>2119</v>
      </c>
      <c r="D284" s="871">
        <f>'[1]PLAN DE DESARROLLO 2024 - 2027'!$K$162</f>
        <v>0.19166666666666665</v>
      </c>
      <c r="E284" s="869" t="s">
        <v>1821</v>
      </c>
      <c r="F284" s="872">
        <f>'[1]PLAN DE DESARROLLO 2024 - 2027'!$K$164</f>
        <v>0.1875</v>
      </c>
      <c r="G284" s="869" t="s">
        <v>958</v>
      </c>
      <c r="H284" s="869" t="s">
        <v>1164</v>
      </c>
      <c r="I284" s="901">
        <f>+'Innovación Pública'!Z10</f>
        <v>0.5</v>
      </c>
      <c r="J284" s="869" t="s">
        <v>516</v>
      </c>
      <c r="K284" s="873" t="s">
        <v>2004</v>
      </c>
      <c r="P284"/>
    </row>
    <row r="285" spans="1:16" ht="29.4" thickBot="1" x14ac:dyDescent="0.35">
      <c r="A285" s="869" t="s">
        <v>2118</v>
      </c>
      <c r="B285" s="871">
        <f>'[1]PLAN DE DESARROLLO 2024 - 2027'!$J$161</f>
        <v>0.21734598565460142</v>
      </c>
      <c r="C285" s="869" t="s">
        <v>2119</v>
      </c>
      <c r="D285" s="871">
        <f>'[1]PLAN DE DESARROLLO 2024 - 2027'!$K$162</f>
        <v>0.19166666666666665</v>
      </c>
      <c r="E285" s="869" t="s">
        <v>1821</v>
      </c>
      <c r="F285" s="872">
        <f>'[1]PLAN DE DESARROLLO 2024 - 2027'!$K$164</f>
        <v>0.1875</v>
      </c>
      <c r="G285" s="869" t="s">
        <v>959</v>
      </c>
      <c r="H285" s="869" t="s">
        <v>1165</v>
      </c>
      <c r="I285" s="901">
        <f>+'Innovación Pública'!Z11</f>
        <v>0.75</v>
      </c>
      <c r="J285" s="869" t="s">
        <v>2128</v>
      </c>
      <c r="K285" s="873" t="s">
        <v>2004</v>
      </c>
      <c r="P285"/>
    </row>
    <row r="286" spans="1:16" ht="29.4" thickBot="1" x14ac:dyDescent="0.35">
      <c r="A286" s="869" t="s">
        <v>2118</v>
      </c>
      <c r="B286" s="871">
        <f>'[1]PLAN DE DESARROLLO 2024 - 2027'!$J$161</f>
        <v>0.21734598565460142</v>
      </c>
      <c r="C286" s="869" t="s">
        <v>2119</v>
      </c>
      <c r="D286" s="871">
        <f>'[1]PLAN DE DESARROLLO 2024 - 2027'!$K$162</f>
        <v>0.19166666666666665</v>
      </c>
      <c r="E286" s="869" t="s">
        <v>1822</v>
      </c>
      <c r="F286" s="872">
        <f>'[1]PLAN DE DESARROLLO 2024 - 2027'!$K$165</f>
        <v>0.36249999999999999</v>
      </c>
      <c r="G286" s="869" t="s">
        <v>961</v>
      </c>
      <c r="H286" s="869" t="s">
        <v>1166</v>
      </c>
      <c r="I286" s="901">
        <f>+'Innovación Pública'!Z13</f>
        <v>0.24099999999999999</v>
      </c>
      <c r="J286" s="869" t="s">
        <v>2129</v>
      </c>
      <c r="K286" s="873" t="s">
        <v>2004</v>
      </c>
      <c r="P286"/>
    </row>
    <row r="287" spans="1:16" ht="29.4" thickBot="1" x14ac:dyDescent="0.35">
      <c r="A287" s="869" t="s">
        <v>2118</v>
      </c>
      <c r="B287" s="871">
        <f>'[1]PLAN DE DESARROLLO 2024 - 2027'!$J$161</f>
        <v>0.21734598565460142</v>
      </c>
      <c r="C287" s="869" t="s">
        <v>2119</v>
      </c>
      <c r="D287" s="871">
        <f>'[1]PLAN DE DESARROLLO 2024 - 2027'!$K$162</f>
        <v>0.19166666666666665</v>
      </c>
      <c r="E287" s="869" t="s">
        <v>1822</v>
      </c>
      <c r="F287" s="872">
        <f>'[1]PLAN DE DESARROLLO 2024 - 2027'!$K$165</f>
        <v>0.36249999999999999</v>
      </c>
      <c r="G287" s="869" t="s">
        <v>963</v>
      </c>
      <c r="H287" s="869" t="s">
        <v>1167</v>
      </c>
      <c r="I287" s="901">
        <f>+'Innovación Pública'!Z14</f>
        <v>0.33333333333333331</v>
      </c>
      <c r="J287" s="869" t="s">
        <v>2130</v>
      </c>
      <c r="K287" s="873" t="s">
        <v>2004</v>
      </c>
      <c r="P287"/>
    </row>
    <row r="288" spans="1:16" ht="29.4" thickBot="1" x14ac:dyDescent="0.35">
      <c r="A288" s="869" t="s">
        <v>2118</v>
      </c>
      <c r="B288" s="871">
        <f>'[1]PLAN DE DESARROLLO 2024 - 2027'!$J$161</f>
        <v>0.21734598565460142</v>
      </c>
      <c r="C288" s="869" t="s">
        <v>2119</v>
      </c>
      <c r="D288" s="871">
        <f>'[1]PLAN DE DESARROLLO 2024 - 2027'!$K$162</f>
        <v>0.19166666666666665</v>
      </c>
      <c r="E288" s="869" t="s">
        <v>1822</v>
      </c>
      <c r="F288" s="872">
        <f>'[1]PLAN DE DESARROLLO 2024 - 2027'!$K$165</f>
        <v>0.36249999999999999</v>
      </c>
      <c r="G288" s="869" t="s">
        <v>965</v>
      </c>
      <c r="H288" s="869" t="s">
        <v>1168</v>
      </c>
      <c r="I288" s="901">
        <f>+'Innovación Pública'!Z15</f>
        <v>0.33333333333333331</v>
      </c>
      <c r="J288" s="869" t="s">
        <v>2130</v>
      </c>
      <c r="K288" s="873" t="s">
        <v>2004</v>
      </c>
      <c r="P288"/>
    </row>
    <row r="289" spans="1:16" ht="29.4" thickBot="1" x14ac:dyDescent="0.35">
      <c r="A289" s="869" t="s">
        <v>2118</v>
      </c>
      <c r="B289" s="871">
        <f>'[1]PLAN DE DESARROLLO 2024 - 2027'!$J$161</f>
        <v>0.21734598565460142</v>
      </c>
      <c r="C289" s="869" t="s">
        <v>2119</v>
      </c>
      <c r="D289" s="871">
        <f>'[1]PLAN DE DESARROLLO 2024 - 2027'!$K$162</f>
        <v>0.19166666666666665</v>
      </c>
      <c r="E289" s="869" t="s">
        <v>1822</v>
      </c>
      <c r="F289" s="872">
        <f>'[1]PLAN DE DESARROLLO 2024 - 2027'!$K$165</f>
        <v>0.36249999999999999</v>
      </c>
      <c r="G289" s="869" t="s">
        <v>966</v>
      </c>
      <c r="H289" s="869" t="s">
        <v>1169</v>
      </c>
      <c r="I289" s="901">
        <f>+'Innovación Pública'!Z16</f>
        <v>1</v>
      </c>
      <c r="J289" s="869" t="s">
        <v>2130</v>
      </c>
      <c r="K289" s="873" t="s">
        <v>2004</v>
      </c>
      <c r="P289"/>
    </row>
    <row r="290" spans="1:16" ht="29.4" thickBot="1" x14ac:dyDescent="0.35">
      <c r="A290" s="869" t="s">
        <v>2118</v>
      </c>
      <c r="B290" s="871">
        <f>'[1]PLAN DE DESARROLLO 2024 - 2027'!$J$161</f>
        <v>0.21734598565460142</v>
      </c>
      <c r="C290" s="869" t="s">
        <v>2120</v>
      </c>
      <c r="D290" s="872">
        <f>'[1]PLAN DE DESARROLLO 2024 - 2027'!$K$166</f>
        <v>0.22116069173966579</v>
      </c>
      <c r="E290" s="869" t="s">
        <v>2131</v>
      </c>
      <c r="F290" s="872">
        <f>'[1]PLAN DE DESARROLLO 2024 - 2027'!$K$167</f>
        <v>0.44305555555555554</v>
      </c>
      <c r="G290" s="869" t="s">
        <v>967</v>
      </c>
      <c r="H290" s="869" t="s">
        <v>1170</v>
      </c>
      <c r="I290" s="901">
        <f>+'Innovación Pública'!Z19</f>
        <v>0.48</v>
      </c>
      <c r="J290" s="869" t="s">
        <v>516</v>
      </c>
      <c r="K290" s="873" t="s">
        <v>2004</v>
      </c>
      <c r="P290"/>
    </row>
    <row r="291" spans="1:16" ht="29.4" thickBot="1" x14ac:dyDescent="0.35">
      <c r="A291" s="869" t="s">
        <v>2118</v>
      </c>
      <c r="B291" s="871">
        <f>'[1]PLAN DE DESARROLLO 2024 - 2027'!$J$161</f>
        <v>0.21734598565460142</v>
      </c>
      <c r="C291" s="869" t="s">
        <v>2120</v>
      </c>
      <c r="D291" s="872">
        <f>'[1]PLAN DE DESARROLLO 2024 - 2027'!$K$166</f>
        <v>0.22116069173966579</v>
      </c>
      <c r="E291" s="869" t="s">
        <v>2131</v>
      </c>
      <c r="F291" s="872">
        <f>'[1]PLAN DE DESARROLLO 2024 - 2027'!$K$167</f>
        <v>0.44305555555555554</v>
      </c>
      <c r="G291" s="869" t="s">
        <v>968</v>
      </c>
      <c r="H291" s="869" t="s">
        <v>1171</v>
      </c>
      <c r="I291" s="902">
        <f>+'Innovación Pública'!Z20</f>
        <v>0.53269999999999995</v>
      </c>
      <c r="J291" s="869" t="s">
        <v>516</v>
      </c>
      <c r="K291" s="873" t="s">
        <v>2004</v>
      </c>
      <c r="P291"/>
    </row>
    <row r="292" spans="1:16" ht="29.4" thickBot="1" x14ac:dyDescent="0.35">
      <c r="A292" s="869" t="s">
        <v>2118</v>
      </c>
      <c r="B292" s="871">
        <f>'[1]PLAN DE DESARROLLO 2024 - 2027'!$J$161</f>
        <v>0.21734598565460142</v>
      </c>
      <c r="C292" s="869" t="s">
        <v>2120</v>
      </c>
      <c r="D292" s="872">
        <f>'[1]PLAN DE DESARROLLO 2024 - 2027'!$K$166</f>
        <v>0.22116069173966579</v>
      </c>
      <c r="E292" s="869" t="s">
        <v>2131</v>
      </c>
      <c r="F292" s="872">
        <f>'[1]PLAN DE DESARROLLO 2024 - 2027'!$K$167</f>
        <v>0.44305555555555554</v>
      </c>
      <c r="G292" s="869" t="s">
        <v>970</v>
      </c>
      <c r="H292" s="869" t="s">
        <v>1172</v>
      </c>
      <c r="I292" s="901">
        <f>+'Innovación Pública'!Z21</f>
        <v>1</v>
      </c>
      <c r="J292" s="869" t="s">
        <v>698</v>
      </c>
      <c r="K292" s="873" t="s">
        <v>2004</v>
      </c>
      <c r="P292"/>
    </row>
    <row r="293" spans="1:16" ht="29.4" thickBot="1" x14ac:dyDescent="0.35">
      <c r="A293" s="869" t="s">
        <v>2118</v>
      </c>
      <c r="B293" s="871">
        <f>'[1]PLAN DE DESARROLLO 2024 - 2027'!$J$161</f>
        <v>0.21734598565460142</v>
      </c>
      <c r="C293" s="869" t="s">
        <v>2120</v>
      </c>
      <c r="D293" s="872">
        <f>'[1]PLAN DE DESARROLLO 2024 - 2027'!$K$166</f>
        <v>0.22116069173966579</v>
      </c>
      <c r="E293" s="869" t="s">
        <v>2131</v>
      </c>
      <c r="F293" s="872">
        <f>'[1]PLAN DE DESARROLLO 2024 - 2027'!$K$167</f>
        <v>0.44305555555555554</v>
      </c>
      <c r="G293" s="869" t="s">
        <v>971</v>
      </c>
      <c r="H293" s="869" t="s">
        <v>1173</v>
      </c>
      <c r="I293" s="901">
        <f>+'Innovación Pública'!Z22</f>
        <v>0.5</v>
      </c>
      <c r="J293" s="869" t="s">
        <v>698</v>
      </c>
      <c r="K293" s="873" t="s">
        <v>2004</v>
      </c>
      <c r="P293"/>
    </row>
    <row r="294" spans="1:16" ht="29.4" thickBot="1" x14ac:dyDescent="0.35">
      <c r="A294" s="869" t="s">
        <v>2118</v>
      </c>
      <c r="B294" s="871">
        <f>'[1]PLAN DE DESARROLLO 2024 - 2027'!$J$161</f>
        <v>0.21734598565460142</v>
      </c>
      <c r="C294" s="869" t="s">
        <v>2120</v>
      </c>
      <c r="D294" s="872">
        <f>'[1]PLAN DE DESARROLLO 2024 - 2027'!$K$166</f>
        <v>0.22116069173966579</v>
      </c>
      <c r="E294" s="869" t="s">
        <v>1824</v>
      </c>
      <c r="F294" s="872">
        <f>'[1]PLAN DE DESARROLLO 2024 - 2027'!$K$168</f>
        <v>0.25</v>
      </c>
      <c r="G294" s="869" t="s">
        <v>972</v>
      </c>
      <c r="H294" s="869" t="s">
        <v>1174</v>
      </c>
      <c r="I294" s="901">
        <f>+'Innovación Pública'!Z24</f>
        <v>0.57499999999999996</v>
      </c>
      <c r="J294" s="869" t="s">
        <v>516</v>
      </c>
      <c r="K294" s="873" t="s">
        <v>2004</v>
      </c>
      <c r="P294"/>
    </row>
    <row r="295" spans="1:16" ht="29.4" thickBot="1" x14ac:dyDescent="0.35">
      <c r="A295" s="869" t="s">
        <v>2118</v>
      </c>
      <c r="B295" s="871">
        <f>'[1]PLAN DE DESARROLLO 2024 - 2027'!$J$161</f>
        <v>0.21734598565460142</v>
      </c>
      <c r="C295" s="869" t="s">
        <v>2120</v>
      </c>
      <c r="D295" s="872">
        <f>'[1]PLAN DE DESARROLLO 2024 - 2027'!$K$166</f>
        <v>0.22116069173966579</v>
      </c>
      <c r="E295" s="869" t="s">
        <v>1824</v>
      </c>
      <c r="F295" s="872">
        <f>'[1]PLAN DE DESARROLLO 2024 - 2027'!$K$168</f>
        <v>0.25</v>
      </c>
      <c r="G295" s="869" t="s">
        <v>973</v>
      </c>
      <c r="H295" s="869" t="s">
        <v>1175</v>
      </c>
      <c r="I295" s="901">
        <f>+'Innovación Pública'!Z25</f>
        <v>0.5</v>
      </c>
      <c r="J295" s="869" t="s">
        <v>516</v>
      </c>
      <c r="K295" s="873" t="s">
        <v>2004</v>
      </c>
      <c r="P295"/>
    </row>
    <row r="296" spans="1:16" ht="29.4" thickBot="1" x14ac:dyDescent="0.35">
      <c r="A296" s="869" t="s">
        <v>2118</v>
      </c>
      <c r="B296" s="871">
        <f>'[1]PLAN DE DESARROLLO 2024 - 2027'!$J$161</f>
        <v>0.21734598565460142</v>
      </c>
      <c r="C296" s="869" t="s">
        <v>2120</v>
      </c>
      <c r="D296" s="872">
        <f>'[1]PLAN DE DESARROLLO 2024 - 2027'!$K$166</f>
        <v>0.22116069173966579</v>
      </c>
      <c r="E296" s="869" t="s">
        <v>1825</v>
      </c>
      <c r="F296" s="872">
        <f>'[1]PLAN DE DESARROLLO 2024 - 2027'!$K$169</f>
        <v>0.2147249647390691</v>
      </c>
      <c r="G296" s="869" t="s">
        <v>974</v>
      </c>
      <c r="H296" s="869" t="s">
        <v>1176</v>
      </c>
      <c r="I296" s="901">
        <f>+'Innovación Pública'!Z27</f>
        <v>0.41767748001880584</v>
      </c>
      <c r="J296" s="869" t="s">
        <v>516</v>
      </c>
      <c r="K296" s="873" t="s">
        <v>2004</v>
      </c>
      <c r="P296"/>
    </row>
    <row r="297" spans="1:16" ht="29.4" thickBot="1" x14ac:dyDescent="0.35">
      <c r="A297" s="869" t="s">
        <v>2118</v>
      </c>
      <c r="B297" s="871">
        <f>'[1]PLAN DE DESARROLLO 2024 - 2027'!$J$161</f>
        <v>0.21734598565460142</v>
      </c>
      <c r="C297" s="869" t="s">
        <v>2120</v>
      </c>
      <c r="D297" s="872">
        <f>'[1]PLAN DE DESARROLLO 2024 - 2027'!$K$166</f>
        <v>0.22116069173966579</v>
      </c>
      <c r="E297" s="869" t="s">
        <v>1825</v>
      </c>
      <c r="F297" s="872">
        <f>'[1]PLAN DE DESARROLLO 2024 - 2027'!$K$169</f>
        <v>0.2147249647390691</v>
      </c>
      <c r="G297" s="869" t="s">
        <v>976</v>
      </c>
      <c r="H297" s="869" t="s">
        <v>1177</v>
      </c>
      <c r="I297" s="901">
        <f>+'Innovación Pública'!Z28</f>
        <v>0.67</v>
      </c>
      <c r="J297" s="869" t="s">
        <v>516</v>
      </c>
      <c r="K297" s="873" t="s">
        <v>2004</v>
      </c>
      <c r="P297"/>
    </row>
    <row r="298" spans="1:16" ht="29.4" thickBot="1" x14ac:dyDescent="0.35">
      <c r="A298" s="869" t="s">
        <v>2118</v>
      </c>
      <c r="B298" s="871">
        <f>'[1]PLAN DE DESARROLLO 2024 - 2027'!$J$161</f>
        <v>0.21734598565460142</v>
      </c>
      <c r="C298" s="869" t="s">
        <v>2120</v>
      </c>
      <c r="D298" s="872">
        <f>'[1]PLAN DE DESARROLLO 2024 - 2027'!$K$166</f>
        <v>0.22116069173966579</v>
      </c>
      <c r="E298" s="869" t="s">
        <v>1825</v>
      </c>
      <c r="F298" s="872">
        <f>'[1]PLAN DE DESARROLLO 2024 - 2027'!$K$169</f>
        <v>0.2147249647390691</v>
      </c>
      <c r="G298" s="869" t="s">
        <v>977</v>
      </c>
      <c r="H298" s="869" t="s">
        <v>1178</v>
      </c>
      <c r="I298" s="902">
        <f>+'Innovación Pública'!Z29</f>
        <v>0.57999999999999996</v>
      </c>
      <c r="J298" s="869" t="s">
        <v>516</v>
      </c>
      <c r="K298" s="873" t="s">
        <v>2004</v>
      </c>
      <c r="P298"/>
    </row>
    <row r="299" spans="1:16" ht="29.4" thickBot="1" x14ac:dyDescent="0.35">
      <c r="A299" s="869" t="s">
        <v>2118</v>
      </c>
      <c r="B299" s="871">
        <f>'[1]PLAN DE DESARROLLO 2024 - 2027'!$J$161</f>
        <v>0.21734598565460142</v>
      </c>
      <c r="C299" s="869" t="s">
        <v>2120</v>
      </c>
      <c r="D299" s="872">
        <f>'[1]PLAN DE DESARROLLO 2024 - 2027'!$K$166</f>
        <v>0.22116069173966579</v>
      </c>
      <c r="E299" s="869" t="s">
        <v>2132</v>
      </c>
      <c r="F299" s="872">
        <f>'[1]PLAN DE DESARROLLO 2024 - 2027'!$K$170</f>
        <v>0.3</v>
      </c>
      <c r="G299" s="869" t="s">
        <v>978</v>
      </c>
      <c r="H299" s="869" t="s">
        <v>1179</v>
      </c>
      <c r="I299" s="901">
        <f>+'Innovación Pública'!Z31</f>
        <v>0.62375999999999998</v>
      </c>
      <c r="J299" s="869" t="s">
        <v>516</v>
      </c>
      <c r="K299" s="873" t="s">
        <v>2004</v>
      </c>
      <c r="P299"/>
    </row>
    <row r="300" spans="1:16" ht="29.4" thickBot="1" x14ac:dyDescent="0.35">
      <c r="A300" s="869" t="s">
        <v>2118</v>
      </c>
      <c r="B300" s="871">
        <f>'[1]PLAN DE DESARROLLO 2024 - 2027'!$J$161</f>
        <v>0.21734598565460142</v>
      </c>
      <c r="C300" s="869" t="s">
        <v>2120</v>
      </c>
      <c r="D300" s="872">
        <f>'[1]PLAN DE DESARROLLO 2024 - 2027'!$K$166</f>
        <v>0.22116069173966579</v>
      </c>
      <c r="E300" s="869" t="s">
        <v>2133</v>
      </c>
      <c r="F300" s="872">
        <f>'[1]PLAN DE DESARROLLO 2024 - 2027'!$K$172</f>
        <v>0.19500000000000001</v>
      </c>
      <c r="G300" s="869" t="s">
        <v>982</v>
      </c>
      <c r="H300" s="869" t="s">
        <v>1183</v>
      </c>
      <c r="I300" s="901">
        <f>+'Innovación Pública'!Z37</f>
        <v>0.53999999999999992</v>
      </c>
      <c r="J300" s="869" t="s">
        <v>516</v>
      </c>
      <c r="K300" s="873" t="s">
        <v>2004</v>
      </c>
      <c r="P300"/>
    </row>
    <row r="301" spans="1:16" ht="29.4" thickBot="1" x14ac:dyDescent="0.35">
      <c r="A301" s="869" t="s">
        <v>2118</v>
      </c>
      <c r="B301" s="871">
        <f>'[1]PLAN DE DESARROLLO 2024 - 2027'!$J$161</f>
        <v>0.21734598565460142</v>
      </c>
      <c r="C301" s="869" t="s">
        <v>2120</v>
      </c>
      <c r="D301" s="872">
        <f>'[1]PLAN DE DESARROLLO 2024 - 2027'!$K$166</f>
        <v>0.22116069173966579</v>
      </c>
      <c r="E301" s="869" t="s">
        <v>2133</v>
      </c>
      <c r="F301" s="872">
        <f>'[1]PLAN DE DESARROLLO 2024 - 2027'!$K$172</f>
        <v>0.19500000000000001</v>
      </c>
      <c r="G301" s="869" t="s">
        <v>983</v>
      </c>
      <c r="H301" s="869" t="s">
        <v>1184</v>
      </c>
      <c r="I301" s="901">
        <f>+'Innovación Pública'!Z38</f>
        <v>0.5</v>
      </c>
      <c r="J301" s="869" t="s">
        <v>516</v>
      </c>
      <c r="K301" s="873" t="s">
        <v>2004</v>
      </c>
      <c r="P301"/>
    </row>
    <row r="302" spans="1:16" ht="43.8" thickBot="1" x14ac:dyDescent="0.35">
      <c r="A302" s="869" t="s">
        <v>2118</v>
      </c>
      <c r="B302" s="871">
        <f>'[1]PLAN DE DESARROLLO 2024 - 2027'!$J$161</f>
        <v>0.21734598565460142</v>
      </c>
      <c r="C302" s="869" t="s">
        <v>2120</v>
      </c>
      <c r="D302" s="872">
        <f>'[1]PLAN DE DESARROLLO 2024 - 2027'!$K$166</f>
        <v>0.22116069173966579</v>
      </c>
      <c r="E302" s="869" t="s">
        <v>2133</v>
      </c>
      <c r="F302" s="872">
        <f>'[1]PLAN DE DESARROLLO 2024 - 2027'!$K$172</f>
        <v>0.19500000000000001</v>
      </c>
      <c r="G302" s="869" t="s">
        <v>984</v>
      </c>
      <c r="H302" s="869" t="s">
        <v>1185</v>
      </c>
      <c r="I302" s="902">
        <f>+'Innovación Pública'!Z39</f>
        <v>0.25</v>
      </c>
      <c r="J302" s="869" t="s">
        <v>516</v>
      </c>
      <c r="K302" s="873" t="s">
        <v>2004</v>
      </c>
      <c r="P302"/>
    </row>
    <row r="303" spans="1:16" ht="43.8" thickBot="1" x14ac:dyDescent="0.35">
      <c r="A303" s="869" t="s">
        <v>2118</v>
      </c>
      <c r="B303" s="871">
        <f>'[1]PLAN DE DESARROLLO 2024 - 2027'!$J$161</f>
        <v>0.21734598565460142</v>
      </c>
      <c r="C303" s="869" t="s">
        <v>2120</v>
      </c>
      <c r="D303" s="872">
        <f>'[1]PLAN DE DESARROLLO 2024 - 2027'!$K$166</f>
        <v>0.22116069173966579</v>
      </c>
      <c r="E303" s="869" t="s">
        <v>2134</v>
      </c>
      <c r="F303" s="872">
        <f>'[1]PLAN DE DESARROLLO 2024 - 2027'!$K$174</f>
        <v>0.19983834695603492</v>
      </c>
      <c r="G303" s="869" t="s">
        <v>987</v>
      </c>
      <c r="H303" s="869" t="s">
        <v>1188</v>
      </c>
      <c r="I303" s="902">
        <f>+'Innovación Pública'!Z44</f>
        <v>0.26999999999999996</v>
      </c>
      <c r="J303" s="869" t="s">
        <v>48</v>
      </c>
      <c r="K303" s="873" t="s">
        <v>2004</v>
      </c>
      <c r="P303"/>
    </row>
    <row r="304" spans="1:16" ht="43.8" thickBot="1" x14ac:dyDescent="0.35">
      <c r="A304" s="869" t="s">
        <v>2118</v>
      </c>
      <c r="B304" s="871">
        <f>'[1]PLAN DE DESARROLLO 2024 - 2027'!$J$161</f>
        <v>0.21734598565460142</v>
      </c>
      <c r="C304" s="869" t="s">
        <v>2120</v>
      </c>
      <c r="D304" s="872">
        <f>'[1]PLAN DE DESARROLLO 2024 - 2027'!$K$166</f>
        <v>0.22116069173966579</v>
      </c>
      <c r="E304" s="869" t="s">
        <v>2134</v>
      </c>
      <c r="F304" s="872">
        <f>'[1]PLAN DE DESARROLLO 2024 - 2027'!$K$174</f>
        <v>0.19983834695603492</v>
      </c>
      <c r="G304" s="869" t="s">
        <v>988</v>
      </c>
      <c r="H304" s="869" t="s">
        <v>1189</v>
      </c>
      <c r="I304" s="901">
        <f>+'Innovación Pública'!Z45</f>
        <v>0.5</v>
      </c>
      <c r="J304" s="869" t="s">
        <v>48</v>
      </c>
      <c r="K304" s="873" t="s">
        <v>2004</v>
      </c>
      <c r="P304"/>
    </row>
    <row r="305" spans="1:16" ht="43.8" thickBot="1" x14ac:dyDescent="0.35">
      <c r="A305" s="869" t="s">
        <v>2118</v>
      </c>
      <c r="B305" s="871">
        <f>'[1]PLAN DE DESARROLLO 2024 - 2027'!$J$161</f>
        <v>0.21734598565460142</v>
      </c>
      <c r="C305" s="869" t="s">
        <v>2120</v>
      </c>
      <c r="D305" s="872">
        <f>'[1]PLAN DE DESARROLLO 2024 - 2027'!$K$166</f>
        <v>0.22116069173966579</v>
      </c>
      <c r="E305" s="869" t="s">
        <v>2134</v>
      </c>
      <c r="F305" s="872">
        <f>'[1]PLAN DE DESARROLLO 2024 - 2027'!$K$174</f>
        <v>0.19983834695603492</v>
      </c>
      <c r="G305" s="869" t="s">
        <v>989</v>
      </c>
      <c r="H305" s="869" t="s">
        <v>1190</v>
      </c>
      <c r="I305" s="901">
        <f>+'Innovación Pública'!Z46</f>
        <v>0.19543591170321872</v>
      </c>
      <c r="J305" s="869" t="s">
        <v>48</v>
      </c>
      <c r="K305" s="873" t="s">
        <v>2004</v>
      </c>
      <c r="P305"/>
    </row>
    <row r="306" spans="1:16" ht="43.8" thickBot="1" x14ac:dyDescent="0.35">
      <c r="A306" s="869" t="s">
        <v>2118</v>
      </c>
      <c r="B306" s="871">
        <f>'[1]PLAN DE DESARROLLO 2024 - 2027'!$J$161</f>
        <v>0.21734598565460142</v>
      </c>
      <c r="C306" s="869" t="s">
        <v>2120</v>
      </c>
      <c r="D306" s="872">
        <f>'[1]PLAN DE DESARROLLO 2024 - 2027'!$K$166</f>
        <v>0.22116069173966579</v>
      </c>
      <c r="E306" s="869" t="s">
        <v>2134</v>
      </c>
      <c r="F306" s="872">
        <f>'[1]PLAN DE DESARROLLO 2024 - 2027'!$K$174</f>
        <v>0.19983834695603492</v>
      </c>
      <c r="G306" s="869" t="s">
        <v>990</v>
      </c>
      <c r="H306" s="869" t="s">
        <v>1191</v>
      </c>
      <c r="I306" s="902">
        <f>+'Innovación Pública'!Z47</f>
        <v>0</v>
      </c>
      <c r="J306" s="869" t="s">
        <v>48</v>
      </c>
      <c r="K306" s="873" t="s">
        <v>2004</v>
      </c>
      <c r="P306"/>
    </row>
    <row r="307" spans="1:16" ht="29.4" thickBot="1" x14ac:dyDescent="0.35">
      <c r="A307" s="869" t="s">
        <v>2118</v>
      </c>
      <c r="B307" s="871">
        <f>'[1]PLAN DE DESARROLLO 2024 - 2027'!$J$161</f>
        <v>0.21734598565460142</v>
      </c>
      <c r="C307" s="869" t="s">
        <v>2124</v>
      </c>
      <c r="D307" s="871">
        <f>'[1]PLAN DE DESARROLLO 2024 - 2027'!$K$175</f>
        <v>0.30645929363983626</v>
      </c>
      <c r="E307" s="869" t="s">
        <v>2135</v>
      </c>
      <c r="F307" s="872">
        <f>'[1]PLAN DE DESARROLLO 2024 - 2027'!$K$176</f>
        <v>0.36291858727967258</v>
      </c>
      <c r="G307" s="869" t="s">
        <v>991</v>
      </c>
      <c r="H307" s="869" t="s">
        <v>1192</v>
      </c>
      <c r="I307" s="901">
        <f>+'Innovación Pública'!Z50</f>
        <v>0.51874712721185479</v>
      </c>
      <c r="J307" s="869" t="s">
        <v>683</v>
      </c>
      <c r="K307" s="873" t="s">
        <v>2004</v>
      </c>
      <c r="P307"/>
    </row>
    <row r="308" spans="1:16" ht="29.4" thickBot="1" x14ac:dyDescent="0.35">
      <c r="A308" s="869" t="s">
        <v>2118</v>
      </c>
      <c r="B308" s="871">
        <f>'[1]PLAN DE DESARROLLO 2024 - 2027'!$J$161</f>
        <v>0.21734598565460142</v>
      </c>
      <c r="C308" s="869" t="s">
        <v>2124</v>
      </c>
      <c r="D308" s="871">
        <f>'[1]PLAN DE DESARROLLO 2024 - 2027'!$K$175</f>
        <v>0.30645929363983626</v>
      </c>
      <c r="E308" s="869" t="s">
        <v>2135</v>
      </c>
      <c r="F308" s="872">
        <f>'[1]PLAN DE DESARROLLO 2024 - 2027'!$K$176</f>
        <v>0.36291858727967258</v>
      </c>
      <c r="G308" s="869" t="s">
        <v>992</v>
      </c>
      <c r="H308" s="869" t="s">
        <v>1193</v>
      </c>
      <c r="I308" s="901">
        <f>+'Innovación Pública'!Z51</f>
        <v>0.45054628282132331</v>
      </c>
      <c r="J308" s="869" t="s">
        <v>683</v>
      </c>
      <c r="K308" s="873" t="s">
        <v>2004</v>
      </c>
      <c r="P308"/>
    </row>
    <row r="309" spans="1:16" ht="29.4" thickBot="1" x14ac:dyDescent="0.35">
      <c r="A309" s="869" t="s">
        <v>2118</v>
      </c>
      <c r="B309" s="871">
        <f>'[1]PLAN DE DESARROLLO 2024 - 2027'!$J$161</f>
        <v>0.21734598565460142</v>
      </c>
      <c r="C309" s="869" t="s">
        <v>2124</v>
      </c>
      <c r="D309" s="871">
        <f>'[1]PLAN DE DESARROLLO 2024 - 2027'!$K$175</f>
        <v>0.30645929363983626</v>
      </c>
      <c r="E309" s="869" t="s">
        <v>2135</v>
      </c>
      <c r="F309" s="872">
        <f>'[1]PLAN DE DESARROLLO 2024 - 2027'!$K$176</f>
        <v>0.36291858727967258</v>
      </c>
      <c r="G309" s="869" t="s">
        <v>993</v>
      </c>
      <c r="H309" s="869" t="s">
        <v>1194</v>
      </c>
      <c r="I309" s="901">
        <f>+'Innovación Pública'!Z52</f>
        <v>0.84046069424967773</v>
      </c>
      <c r="J309" s="869" t="s">
        <v>683</v>
      </c>
      <c r="K309" s="873" t="s">
        <v>2004</v>
      </c>
      <c r="P309"/>
    </row>
    <row r="310" spans="1:16" ht="29.4" thickBot="1" x14ac:dyDescent="0.35">
      <c r="A310" s="869" t="s">
        <v>2118</v>
      </c>
      <c r="B310" s="871">
        <f>'[1]PLAN DE DESARROLLO 2024 - 2027'!$J$161</f>
        <v>0.21734598565460142</v>
      </c>
      <c r="C310" s="869" t="s">
        <v>2124</v>
      </c>
      <c r="D310" s="871">
        <f>'[1]PLAN DE DESARROLLO 2024 - 2027'!$K$175</f>
        <v>0.30645929363983626</v>
      </c>
      <c r="E310" s="869" t="s">
        <v>2135</v>
      </c>
      <c r="F310" s="872">
        <f>'[1]PLAN DE DESARROLLO 2024 - 2027'!$K$176</f>
        <v>0.36291858727967258</v>
      </c>
      <c r="G310" s="869" t="s">
        <v>994</v>
      </c>
      <c r="H310" s="869" t="s">
        <v>1195</v>
      </c>
      <c r="I310" s="901">
        <f>+'Innovación Pública'!Z53</f>
        <v>0.49274800819402015</v>
      </c>
      <c r="J310" s="869" t="s">
        <v>683</v>
      </c>
      <c r="K310" s="873" t="s">
        <v>2004</v>
      </c>
      <c r="P310"/>
    </row>
    <row r="311" spans="1:16" ht="29.4" thickBot="1" x14ac:dyDescent="0.35">
      <c r="A311" s="869" t="s">
        <v>2118</v>
      </c>
      <c r="B311" s="871">
        <f>'[1]PLAN DE DESARROLLO 2024 - 2027'!$J$161</f>
        <v>0.21734598565460142</v>
      </c>
      <c r="C311" s="869" t="s">
        <v>2124</v>
      </c>
      <c r="D311" s="871">
        <f>'[1]PLAN DE DESARROLLO 2024 - 2027'!$K$175</f>
        <v>0.30645929363983626</v>
      </c>
      <c r="E311" s="869" t="s">
        <v>2135</v>
      </c>
      <c r="F311" s="872">
        <f>'[1]PLAN DE DESARROLLO 2024 - 2027'!$K$176</f>
        <v>0.36291858727967258</v>
      </c>
      <c r="G311" s="869" t="s">
        <v>995</v>
      </c>
      <c r="H311" s="869" t="s">
        <v>1556</v>
      </c>
      <c r="I311" s="901">
        <f>+'Innovación Pública'!Z54</f>
        <v>0.46875</v>
      </c>
      <c r="J311" s="869" t="s">
        <v>683</v>
      </c>
      <c r="K311" s="873" t="s">
        <v>2004</v>
      </c>
      <c r="P311"/>
    </row>
    <row r="312" spans="1:16" ht="29.4" thickBot="1" x14ac:dyDescent="0.35">
      <c r="A312" s="869" t="s">
        <v>2118</v>
      </c>
      <c r="B312" s="871">
        <f>'[1]PLAN DE DESARROLLO 2024 - 2027'!$J$161</f>
        <v>0.21734598565460142</v>
      </c>
      <c r="C312" s="869" t="s">
        <v>2136</v>
      </c>
      <c r="D312" s="871">
        <f>'[1]PLAN DE DESARROLLO 2024 - 2027'!$K$178</f>
        <v>0.27789168183196844</v>
      </c>
      <c r="E312" s="869" t="s">
        <v>2137</v>
      </c>
      <c r="F312" s="872">
        <f>'[1]PLAN DE DESARROLLO 2024 - 2027'!$K$179</f>
        <v>0.3959167424931756</v>
      </c>
      <c r="G312" s="869" t="s">
        <v>997</v>
      </c>
      <c r="H312" s="869" t="s">
        <v>1197</v>
      </c>
      <c r="I312" s="901">
        <f>+'Innovación Pública'!Z59</f>
        <v>0.78480436760691541</v>
      </c>
      <c r="J312" s="869" t="s">
        <v>998</v>
      </c>
      <c r="K312" s="873" t="s">
        <v>2004</v>
      </c>
      <c r="P312"/>
    </row>
    <row r="313" spans="1:16" ht="43.8" thickBot="1" x14ac:dyDescent="0.35">
      <c r="A313" s="869" t="s">
        <v>2118</v>
      </c>
      <c r="B313" s="871">
        <f>'[1]PLAN DE DESARROLLO 2024 - 2027'!$J$161</f>
        <v>0.21734598565460142</v>
      </c>
      <c r="C313" s="869" t="s">
        <v>2136</v>
      </c>
      <c r="D313" s="871">
        <f>'[1]PLAN DE DESARROLLO 2024 - 2027'!$K$178</f>
        <v>0.27789168183196844</v>
      </c>
      <c r="E313" s="869" t="s">
        <v>2137</v>
      </c>
      <c r="F313" s="872">
        <f>'[1]PLAN DE DESARROLLO 2024 - 2027'!$K$179</f>
        <v>0.3959167424931756</v>
      </c>
      <c r="G313" s="869" t="s">
        <v>999</v>
      </c>
      <c r="H313" s="869" t="s">
        <v>1198</v>
      </c>
      <c r="I313" s="901">
        <f>+'Innovación Pública'!Z60</f>
        <v>0.5</v>
      </c>
      <c r="J313" s="869" t="s">
        <v>998</v>
      </c>
      <c r="K313" s="873" t="s">
        <v>2004</v>
      </c>
      <c r="P313"/>
    </row>
    <row r="314" spans="1:16" ht="29.4" thickBot="1" x14ac:dyDescent="0.35">
      <c r="A314" s="869" t="s">
        <v>2118</v>
      </c>
      <c r="B314" s="871">
        <f>'[1]PLAN DE DESARROLLO 2024 - 2027'!$J$161</f>
        <v>0.21734598565460142</v>
      </c>
      <c r="C314" s="869" t="s">
        <v>2136</v>
      </c>
      <c r="D314" s="871">
        <f>'[1]PLAN DE DESARROLLO 2024 - 2027'!$K$178</f>
        <v>0.27789168183196844</v>
      </c>
      <c r="E314" s="869" t="s">
        <v>1828</v>
      </c>
      <c r="F314" s="872">
        <f>'[1]PLAN DE DESARROLLO 2024 - 2027'!$K$180</f>
        <v>0.25562499999999999</v>
      </c>
      <c r="G314" s="869" t="s">
        <v>1000</v>
      </c>
      <c r="H314" s="869" t="s">
        <v>1199</v>
      </c>
      <c r="I314" s="901">
        <f>+'Innovación Pública'!Z62</f>
        <v>0.73750000000000004</v>
      </c>
      <c r="J314" s="869" t="s">
        <v>998</v>
      </c>
      <c r="K314" s="873" t="s">
        <v>2004</v>
      </c>
      <c r="P314"/>
    </row>
    <row r="315" spans="1:16" ht="29.4" thickBot="1" x14ac:dyDescent="0.35">
      <c r="A315" s="869" t="s">
        <v>2118</v>
      </c>
      <c r="B315" s="871">
        <f>'[1]PLAN DE DESARROLLO 2024 - 2027'!$J$161</f>
        <v>0.21734598565460142</v>
      </c>
      <c r="C315" s="869" t="s">
        <v>2136</v>
      </c>
      <c r="D315" s="871">
        <f>'[1]PLAN DE DESARROLLO 2024 - 2027'!$K$178</f>
        <v>0.27789168183196844</v>
      </c>
      <c r="E315" s="869" t="s">
        <v>1828</v>
      </c>
      <c r="F315" s="872">
        <f>'[1]PLAN DE DESARROLLO 2024 - 2027'!$K$180</f>
        <v>0.25562499999999999</v>
      </c>
      <c r="G315" s="869" t="s">
        <v>1001</v>
      </c>
      <c r="H315" s="869" t="s">
        <v>1200</v>
      </c>
      <c r="I315" s="901">
        <f>+'Innovación Pública'!Z63</f>
        <v>0.45</v>
      </c>
      <c r="J315" s="869" t="s">
        <v>998</v>
      </c>
      <c r="K315" s="873" t="s">
        <v>2004</v>
      </c>
      <c r="P315"/>
    </row>
    <row r="316" spans="1:16" ht="43.8" thickBot="1" x14ac:dyDescent="0.35">
      <c r="A316" s="869" t="s">
        <v>2118</v>
      </c>
      <c r="B316" s="871">
        <f>'[1]PLAN DE DESARROLLO 2024 - 2027'!$J$161</f>
        <v>0.21734598565460142</v>
      </c>
      <c r="C316" s="869" t="s">
        <v>2136</v>
      </c>
      <c r="D316" s="871">
        <f>'[1]PLAN DE DESARROLLO 2024 - 2027'!$K$178</f>
        <v>0.27789168183196844</v>
      </c>
      <c r="E316" s="869" t="s">
        <v>1828</v>
      </c>
      <c r="F316" s="872">
        <f>'[1]PLAN DE DESARROLLO 2024 - 2027'!$K$180</f>
        <v>0.25562499999999999</v>
      </c>
      <c r="G316" s="869" t="s">
        <v>1002</v>
      </c>
      <c r="H316" s="869" t="s">
        <v>1201</v>
      </c>
      <c r="I316" s="901">
        <f>+'Innovación Pública'!Z64</f>
        <v>0.4375</v>
      </c>
      <c r="J316" s="869" t="s">
        <v>998</v>
      </c>
      <c r="K316" s="873" t="s">
        <v>2004</v>
      </c>
      <c r="P316"/>
    </row>
    <row r="317" spans="1:16" ht="29.4" thickBot="1" x14ac:dyDescent="0.35">
      <c r="A317" s="869" t="s">
        <v>2118</v>
      </c>
      <c r="B317" s="871">
        <f>'[1]PLAN DE DESARROLLO 2024 - 2027'!$J$161</f>
        <v>0.21734598565460142</v>
      </c>
      <c r="C317" s="869" t="s">
        <v>2136</v>
      </c>
      <c r="D317" s="871">
        <f>'[1]PLAN DE DESARROLLO 2024 - 2027'!$K$178</f>
        <v>0.27789168183196844</v>
      </c>
      <c r="E317" s="869" t="s">
        <v>1828</v>
      </c>
      <c r="F317" s="872">
        <f>'[1]PLAN DE DESARROLLO 2024 - 2027'!$K$180</f>
        <v>0.25562499999999999</v>
      </c>
      <c r="G317" s="869" t="s">
        <v>1003</v>
      </c>
      <c r="H317" s="869" t="s">
        <v>1202</v>
      </c>
      <c r="I317" s="901">
        <f>+'Innovación Pública'!Z65</f>
        <v>0.42499999999999999</v>
      </c>
      <c r="J317" s="869" t="s">
        <v>998</v>
      </c>
      <c r="K317" s="873" t="s">
        <v>2004</v>
      </c>
      <c r="P317"/>
    </row>
    <row r="318" spans="1:16" ht="29.4" thickBot="1" x14ac:dyDescent="0.35">
      <c r="A318" s="869" t="s">
        <v>2118</v>
      </c>
      <c r="B318" s="871">
        <f>'[1]PLAN DE DESARROLLO 2024 - 2027'!$J$161</f>
        <v>0.21734598565460142</v>
      </c>
      <c r="C318" s="869" t="s">
        <v>2136</v>
      </c>
      <c r="D318" s="871">
        <f>'[1]PLAN DE DESARROLLO 2024 - 2027'!$K$178</f>
        <v>0.27789168183196844</v>
      </c>
      <c r="E318" s="869" t="s">
        <v>1829</v>
      </c>
      <c r="F318" s="872">
        <f>'[1]PLAN DE DESARROLLO 2024 - 2027'!$K$181</f>
        <v>0.27500000000000002</v>
      </c>
      <c r="G318" s="869" t="s">
        <v>1004</v>
      </c>
      <c r="H318" s="869" t="s">
        <v>1203</v>
      </c>
      <c r="I318" s="901">
        <f>+'Innovación Pública'!Z67</f>
        <v>0.5</v>
      </c>
      <c r="J318" s="869" t="s">
        <v>998</v>
      </c>
      <c r="K318" s="873" t="s">
        <v>2004</v>
      </c>
      <c r="P318"/>
    </row>
    <row r="319" spans="1:16" ht="29.4" thickBot="1" x14ac:dyDescent="0.35">
      <c r="A319" s="869" t="s">
        <v>2118</v>
      </c>
      <c r="B319" s="871">
        <f>'[1]PLAN DE DESARROLLO 2024 - 2027'!$J$161</f>
        <v>0.21734598565460142</v>
      </c>
      <c r="C319" s="869" t="s">
        <v>2136</v>
      </c>
      <c r="D319" s="871">
        <f>'[1]PLAN DE DESARROLLO 2024 - 2027'!$K$178</f>
        <v>0.27789168183196844</v>
      </c>
      <c r="E319" s="869" t="s">
        <v>1830</v>
      </c>
      <c r="F319" s="872">
        <f>'[1]PLAN DE DESARROLLO 2024 - 2027'!$K$182</f>
        <v>0.19416666666666665</v>
      </c>
      <c r="G319" s="869" t="s">
        <v>1005</v>
      </c>
      <c r="H319" s="869" t="s">
        <v>1204</v>
      </c>
      <c r="I319" s="901">
        <f>+'Innovación Pública'!Z69</f>
        <v>0.31159420289855072</v>
      </c>
      <c r="J319" s="869" t="s">
        <v>998</v>
      </c>
      <c r="K319" s="873" t="s">
        <v>2004</v>
      </c>
      <c r="P319"/>
    </row>
    <row r="320" spans="1:16" ht="43.8" thickBot="1" x14ac:dyDescent="0.35">
      <c r="A320" s="869" t="s">
        <v>2118</v>
      </c>
      <c r="B320" s="871">
        <f>'[1]PLAN DE DESARROLLO 2024 - 2027'!$J$161</f>
        <v>0.21734598565460142</v>
      </c>
      <c r="C320" s="869" t="s">
        <v>2136</v>
      </c>
      <c r="D320" s="871">
        <f>'[1]PLAN DE DESARROLLO 2024 - 2027'!$K$178</f>
        <v>0.27789168183196844</v>
      </c>
      <c r="E320" s="869" t="s">
        <v>1830</v>
      </c>
      <c r="F320" s="872">
        <f>'[1]PLAN DE DESARROLLO 2024 - 2027'!$K$182</f>
        <v>0.19416666666666665</v>
      </c>
      <c r="G320" s="869" t="s">
        <v>1006</v>
      </c>
      <c r="H320" s="869" t="s">
        <v>1205</v>
      </c>
      <c r="I320" s="901">
        <f>+'Innovación Pública'!Z70</f>
        <v>0.5</v>
      </c>
      <c r="J320" s="869" t="s">
        <v>998</v>
      </c>
      <c r="K320" s="873" t="s">
        <v>2004</v>
      </c>
      <c r="P320"/>
    </row>
    <row r="321" spans="1:16" ht="29.4" thickBot="1" x14ac:dyDescent="0.35">
      <c r="A321" s="869" t="s">
        <v>2118</v>
      </c>
      <c r="B321" s="871">
        <f>'[1]PLAN DE DESARROLLO 2024 - 2027'!$J$161</f>
        <v>0.21734598565460142</v>
      </c>
      <c r="C321" s="869" t="s">
        <v>2136</v>
      </c>
      <c r="D321" s="871">
        <f>'[1]PLAN DE DESARROLLO 2024 - 2027'!$K$178</f>
        <v>0.27789168183196844</v>
      </c>
      <c r="E321" s="869" t="s">
        <v>1830</v>
      </c>
      <c r="F321" s="872">
        <f>'[1]PLAN DE DESARROLLO 2024 - 2027'!$K$182</f>
        <v>0.19416666666666665</v>
      </c>
      <c r="G321" s="869" t="s">
        <v>1007</v>
      </c>
      <c r="H321" s="869" t="s">
        <v>1206</v>
      </c>
      <c r="I321" s="901">
        <f>+'Innovación Pública'!Z71</f>
        <v>0.5</v>
      </c>
      <c r="J321" s="869" t="s">
        <v>998</v>
      </c>
      <c r="K321" s="873" t="s">
        <v>2004</v>
      </c>
      <c r="P321"/>
    </row>
    <row r="322" spans="1:16" ht="29.4" thickBot="1" x14ac:dyDescent="0.35">
      <c r="A322" s="869" t="s">
        <v>2118</v>
      </c>
      <c r="B322" s="871">
        <f>'[1]PLAN DE DESARROLLO 2024 - 2027'!$J$161</f>
        <v>0.21734598565460142</v>
      </c>
      <c r="C322" s="869" t="s">
        <v>2136</v>
      </c>
      <c r="D322" s="871">
        <f>'[1]PLAN DE DESARROLLO 2024 - 2027'!$K$178</f>
        <v>0.27789168183196844</v>
      </c>
      <c r="E322" s="869" t="s">
        <v>1830</v>
      </c>
      <c r="F322" s="872">
        <f>'[1]PLAN DE DESARROLLO 2024 - 2027'!$K$182</f>
        <v>0.19416666666666665</v>
      </c>
      <c r="G322" s="869" t="s">
        <v>1008</v>
      </c>
      <c r="H322" s="869" t="s">
        <v>1207</v>
      </c>
      <c r="I322" s="901">
        <f>+'Innovación Pública'!Z72</f>
        <v>0.5</v>
      </c>
      <c r="J322" s="869" t="s">
        <v>998</v>
      </c>
      <c r="K322" s="873" t="s">
        <v>2004</v>
      </c>
      <c r="P322"/>
    </row>
    <row r="323" spans="1:16" ht="29.4" thickBot="1" x14ac:dyDescent="0.35">
      <c r="A323" s="869" t="s">
        <v>2118</v>
      </c>
      <c r="B323" s="871">
        <f>'[1]PLAN DE DESARROLLO 2024 - 2027'!$J$161</f>
        <v>0.21734598565460142</v>
      </c>
      <c r="C323" s="869" t="s">
        <v>2136</v>
      </c>
      <c r="D323" s="871">
        <f>'[1]PLAN DE DESARROLLO 2024 - 2027'!$K$178</f>
        <v>0.27789168183196844</v>
      </c>
      <c r="E323" s="869" t="s">
        <v>1830</v>
      </c>
      <c r="F323" s="872">
        <f>'[1]PLAN DE DESARROLLO 2024 - 2027'!$K$182</f>
        <v>0.19416666666666665</v>
      </c>
      <c r="G323" s="869" t="s">
        <v>1545</v>
      </c>
      <c r="H323" s="869" t="s">
        <v>1544</v>
      </c>
      <c r="I323" s="901">
        <f>+'Innovación Pública'!Z73</f>
        <v>0.5</v>
      </c>
      <c r="J323" s="869" t="s">
        <v>998</v>
      </c>
      <c r="K323" s="873" t="s">
        <v>2004</v>
      </c>
      <c r="P323"/>
    </row>
    <row r="324" spans="1:16" ht="29.4" thickBot="1" x14ac:dyDescent="0.35">
      <c r="A324" s="869" t="s">
        <v>2118</v>
      </c>
      <c r="B324" s="871">
        <f>'[1]PLAN DE DESARROLLO 2024 - 2027'!$J$161</f>
        <v>0.21734598565460142</v>
      </c>
      <c r="C324" s="869" t="s">
        <v>2136</v>
      </c>
      <c r="D324" s="871">
        <f>'[1]PLAN DE DESARROLLO 2024 - 2027'!$K$178</f>
        <v>0.27789168183196844</v>
      </c>
      <c r="E324" s="869" t="s">
        <v>1831</v>
      </c>
      <c r="F324" s="872">
        <f>'[1]PLAN DE DESARROLLO 2024 - 2027'!$K$183</f>
        <v>0.26875000000000004</v>
      </c>
      <c r="G324" s="869" t="s">
        <v>1009</v>
      </c>
      <c r="H324" s="869" t="s">
        <v>1208</v>
      </c>
      <c r="I324" s="901">
        <f>+'Innovación Pública'!Z75</f>
        <v>0.5</v>
      </c>
      <c r="J324" s="869" t="s">
        <v>998</v>
      </c>
      <c r="K324" s="873" t="s">
        <v>2004</v>
      </c>
      <c r="P324"/>
    </row>
    <row r="325" spans="1:16" ht="29.4" thickBot="1" x14ac:dyDescent="0.35">
      <c r="A325" s="869" t="s">
        <v>2118</v>
      </c>
      <c r="B325" s="871">
        <f>'[1]PLAN DE DESARROLLO 2024 - 2027'!$J$161</f>
        <v>0.21734598565460142</v>
      </c>
      <c r="C325" s="869" t="s">
        <v>2136</v>
      </c>
      <c r="D325" s="871">
        <f>'[1]PLAN DE DESARROLLO 2024 - 2027'!$K$178</f>
        <v>0.27789168183196844</v>
      </c>
      <c r="E325" s="869" t="s">
        <v>1831</v>
      </c>
      <c r="F325" s="872">
        <f>'[1]PLAN DE DESARROLLO 2024 - 2027'!$K$183</f>
        <v>0.26875000000000004</v>
      </c>
      <c r="G325" s="869" t="s">
        <v>1010</v>
      </c>
      <c r="H325" s="869" t="s">
        <v>1209</v>
      </c>
      <c r="I325" s="901">
        <f>+'Innovación Pública'!Z76</f>
        <v>0.5</v>
      </c>
      <c r="J325" s="869" t="s">
        <v>998</v>
      </c>
      <c r="K325" s="873" t="s">
        <v>2004</v>
      </c>
      <c r="P325"/>
    </row>
    <row r="326" spans="1:16" ht="43.8" thickBot="1" x14ac:dyDescent="0.35">
      <c r="A326" s="869" t="s">
        <v>2118</v>
      </c>
      <c r="B326" s="871">
        <f>'[1]PLAN DE DESARROLLO 2024 - 2027'!$J$161</f>
        <v>0.21734598565460142</v>
      </c>
      <c r="C326" s="869" t="s">
        <v>2126</v>
      </c>
      <c r="D326" s="871">
        <f>'[1]PLAN DE DESARROLLO 2024 - 2027'!$K$184</f>
        <v>0.20161705435056146</v>
      </c>
      <c r="E326" s="869" t="s">
        <v>2138</v>
      </c>
      <c r="F326" s="872">
        <f>'[1]PLAN DE DESARROLLO 2024 - 2027'!$K$185</f>
        <v>0.41443843721447998</v>
      </c>
      <c r="G326" s="869" t="s">
        <v>1011</v>
      </c>
      <c r="H326" s="869" t="s">
        <v>1210</v>
      </c>
      <c r="I326" s="901">
        <f>+'Innovación Pública'!Z79</f>
        <v>0.54066985645933019</v>
      </c>
      <c r="J326" s="869" t="s">
        <v>1012</v>
      </c>
      <c r="K326" s="873" t="s">
        <v>2004</v>
      </c>
      <c r="P326"/>
    </row>
    <row r="327" spans="1:16" ht="43.8" thickBot="1" x14ac:dyDescent="0.35">
      <c r="A327" s="869" t="s">
        <v>2118</v>
      </c>
      <c r="B327" s="871">
        <f>'[1]PLAN DE DESARROLLO 2024 - 2027'!$J$161</f>
        <v>0.21734598565460142</v>
      </c>
      <c r="C327" s="869" t="s">
        <v>2126</v>
      </c>
      <c r="D327" s="871">
        <f>'[1]PLAN DE DESARROLLO 2024 - 2027'!$K$184</f>
        <v>0.20161705435056146</v>
      </c>
      <c r="E327" s="869" t="s">
        <v>2138</v>
      </c>
      <c r="F327" s="872">
        <f>'[1]PLAN DE DESARROLLO 2024 - 2027'!$K$185</f>
        <v>0.41443843721447998</v>
      </c>
      <c r="G327" s="869" t="s">
        <v>1013</v>
      </c>
      <c r="H327" s="869" t="s">
        <v>1211</v>
      </c>
      <c r="I327" s="901">
        <f>+'Innovación Pública'!Z80</f>
        <v>0.91463414634146345</v>
      </c>
      <c r="J327" s="869" t="s">
        <v>1012</v>
      </c>
      <c r="K327" s="873" t="s">
        <v>2004</v>
      </c>
      <c r="P327"/>
    </row>
    <row r="328" spans="1:16" ht="29.4" thickBot="1" x14ac:dyDescent="0.35">
      <c r="A328" s="869" t="s">
        <v>2118</v>
      </c>
      <c r="B328" s="871">
        <f>'[1]PLAN DE DESARROLLO 2024 - 2027'!$J$161</f>
        <v>0.21734598565460142</v>
      </c>
      <c r="C328" s="869" t="s">
        <v>2126</v>
      </c>
      <c r="D328" s="871">
        <f>'[1]PLAN DE DESARROLLO 2024 - 2027'!$K$184</f>
        <v>0.20161705435056146</v>
      </c>
      <c r="E328" s="869" t="s">
        <v>2138</v>
      </c>
      <c r="F328" s="872">
        <f>'[1]PLAN DE DESARROLLO 2024 - 2027'!$K$185</f>
        <v>0.41443843721447998</v>
      </c>
      <c r="G328" s="869" t="s">
        <v>1014</v>
      </c>
      <c r="H328" s="869" t="s">
        <v>1212</v>
      </c>
      <c r="I328" s="901">
        <f>+'Innovación Pública'!Z81</f>
        <v>0.50248756218905477</v>
      </c>
      <c r="J328" s="869" t="s">
        <v>1012</v>
      </c>
      <c r="K328" s="873" t="s">
        <v>2004</v>
      </c>
      <c r="P328"/>
    </row>
    <row r="329" spans="1:16" ht="29.4" thickBot="1" x14ac:dyDescent="0.35">
      <c r="A329" s="869" t="s">
        <v>2118</v>
      </c>
      <c r="B329" s="871">
        <f>'[1]PLAN DE DESARROLLO 2024 - 2027'!$J$161</f>
        <v>0.21734598565460142</v>
      </c>
      <c r="C329" s="869" t="s">
        <v>2126</v>
      </c>
      <c r="D329" s="871">
        <f>'[1]PLAN DE DESARROLLO 2024 - 2027'!$K$184</f>
        <v>0.20161705435056146</v>
      </c>
      <c r="E329" s="869" t="s">
        <v>2138</v>
      </c>
      <c r="F329" s="872">
        <f>'[1]PLAN DE DESARROLLO 2024 - 2027'!$K$185</f>
        <v>0.41443843721447998</v>
      </c>
      <c r="G329" s="869" t="s">
        <v>1015</v>
      </c>
      <c r="H329" s="869" t="s">
        <v>1213</v>
      </c>
      <c r="I329" s="901">
        <f>+'Innovación Pública'!Z82</f>
        <v>0.9</v>
      </c>
      <c r="J329" s="869" t="s">
        <v>1012</v>
      </c>
      <c r="K329" s="873" t="s">
        <v>2004</v>
      </c>
      <c r="P329"/>
    </row>
    <row r="330" spans="1:16" ht="58.2" thickBot="1" x14ac:dyDescent="0.35">
      <c r="A330" s="869" t="s">
        <v>2118</v>
      </c>
      <c r="B330" s="871">
        <f>'[1]PLAN DE DESARROLLO 2024 - 2027'!$J$161</f>
        <v>0.21734598565460142</v>
      </c>
      <c r="C330" s="869" t="s">
        <v>2126</v>
      </c>
      <c r="D330" s="871">
        <f>'[1]PLAN DE DESARROLLO 2024 - 2027'!$K$184</f>
        <v>0.20161705435056146</v>
      </c>
      <c r="E330" s="869" t="s">
        <v>2138</v>
      </c>
      <c r="F330" s="872">
        <f>'[1]PLAN DE DESARROLLO 2024 - 2027'!$K$185</f>
        <v>0.41443843721447998</v>
      </c>
      <c r="G330" s="869" t="s">
        <v>1016</v>
      </c>
      <c r="H330" s="869" t="s">
        <v>1214</v>
      </c>
      <c r="I330" s="901">
        <f>+'Innovación Pública'!Z83</f>
        <v>0.9</v>
      </c>
      <c r="J330" s="869" t="s">
        <v>1012</v>
      </c>
      <c r="K330" s="873" t="s">
        <v>2004</v>
      </c>
      <c r="P330"/>
    </row>
    <row r="331" spans="1:16" ht="43.8" thickBot="1" x14ac:dyDescent="0.35">
      <c r="A331" s="869" t="s">
        <v>2118</v>
      </c>
      <c r="B331" s="871">
        <f>'[1]PLAN DE DESARROLLO 2024 - 2027'!$J$161</f>
        <v>0.21734598565460142</v>
      </c>
      <c r="C331" s="869" t="s">
        <v>2126</v>
      </c>
      <c r="D331" s="871">
        <f>'[1]PLAN DE DESARROLLO 2024 - 2027'!$K$184</f>
        <v>0.20161705435056146</v>
      </c>
      <c r="E331" s="869" t="s">
        <v>2138</v>
      </c>
      <c r="F331" s="872">
        <f>'[1]PLAN DE DESARROLLO 2024 - 2027'!$K$185</f>
        <v>0.41443843721447998</v>
      </c>
      <c r="G331" s="869" t="s">
        <v>1017</v>
      </c>
      <c r="H331" s="869" t="s">
        <v>1215</v>
      </c>
      <c r="I331" s="901">
        <f>+'Innovación Pública'!Z84</f>
        <v>0.89999999999999991</v>
      </c>
      <c r="J331" s="869" t="s">
        <v>1012</v>
      </c>
      <c r="K331" s="873" t="s">
        <v>2004</v>
      </c>
      <c r="P331"/>
    </row>
    <row r="332" spans="1:16" ht="29.4" thickBot="1" x14ac:dyDescent="0.35">
      <c r="A332" s="869" t="s">
        <v>2118</v>
      </c>
      <c r="B332" s="871">
        <f>'[1]PLAN DE DESARROLLO 2024 - 2027'!$J$161</f>
        <v>0.21734598565460142</v>
      </c>
      <c r="C332" s="869" t="s">
        <v>2126</v>
      </c>
      <c r="D332" s="871">
        <f>'[1]PLAN DE DESARROLLO 2024 - 2027'!$K$184</f>
        <v>0.20161705435056146</v>
      </c>
      <c r="E332" s="869" t="s">
        <v>2139</v>
      </c>
      <c r="F332" s="872">
        <f>'[1]PLAN DE DESARROLLO 2024 - 2027'!$K$186</f>
        <v>0.15999999999999998</v>
      </c>
      <c r="G332" s="869" t="s">
        <v>1018</v>
      </c>
      <c r="H332" s="869" t="s">
        <v>1216</v>
      </c>
      <c r="I332" s="902">
        <f>+'Innovación Pública'!Z86</f>
        <v>1.6666666666666668E-3</v>
      </c>
      <c r="J332" s="869" t="s">
        <v>1012</v>
      </c>
      <c r="K332" s="873" t="s">
        <v>2004</v>
      </c>
      <c r="P332"/>
    </row>
    <row r="333" spans="1:16" ht="29.4" thickBot="1" x14ac:dyDescent="0.35">
      <c r="A333" s="869" t="s">
        <v>2118</v>
      </c>
      <c r="B333" s="871">
        <f>'[1]PLAN DE DESARROLLO 2024 - 2027'!$J$161</f>
        <v>0.21734598565460142</v>
      </c>
      <c r="C333" s="869" t="s">
        <v>2126</v>
      </c>
      <c r="D333" s="871">
        <f>'[1]PLAN DE DESARROLLO 2024 - 2027'!$K$184</f>
        <v>0.20161705435056146</v>
      </c>
      <c r="E333" s="869" t="s">
        <v>2139</v>
      </c>
      <c r="F333" s="872">
        <f>'[1]PLAN DE DESARROLLO 2024 - 2027'!$K$186</f>
        <v>0.15999999999999998</v>
      </c>
      <c r="G333" s="869" t="s">
        <v>1019</v>
      </c>
      <c r="H333" s="869" t="s">
        <v>1217</v>
      </c>
      <c r="I333" s="901">
        <f>+'Innovación Pública'!Z87</f>
        <v>1</v>
      </c>
      <c r="J333" s="869" t="s">
        <v>1012</v>
      </c>
      <c r="K333" s="873" t="s">
        <v>2004</v>
      </c>
      <c r="P333"/>
    </row>
    <row r="334" spans="1:16" ht="29.4" thickBot="1" x14ac:dyDescent="0.35">
      <c r="A334" s="869" t="s">
        <v>2118</v>
      </c>
      <c r="B334" s="871">
        <f>'[1]PLAN DE DESARROLLO 2024 - 2027'!$J$161</f>
        <v>0.21734598565460142</v>
      </c>
      <c r="C334" s="869" t="s">
        <v>2126</v>
      </c>
      <c r="D334" s="871">
        <f>'[1]PLAN DE DESARROLLO 2024 - 2027'!$K$184</f>
        <v>0.20161705435056146</v>
      </c>
      <c r="E334" s="869" t="s">
        <v>2139</v>
      </c>
      <c r="F334" s="872">
        <f>'[1]PLAN DE DESARROLLO 2024 - 2027'!$K$186</f>
        <v>0.15999999999999998</v>
      </c>
      <c r="G334" s="869" t="s">
        <v>1020</v>
      </c>
      <c r="H334" s="869" t="s">
        <v>1218</v>
      </c>
      <c r="I334" s="902">
        <f>+'Innovación Pública'!Z88</f>
        <v>3.3333333333333333E-2</v>
      </c>
      <c r="J334" s="869" t="s">
        <v>1012</v>
      </c>
      <c r="K334" s="873" t="s">
        <v>2004</v>
      </c>
      <c r="P334"/>
    </row>
    <row r="335" spans="1:16" ht="29.4" thickBot="1" x14ac:dyDescent="0.35">
      <c r="A335" s="869" t="s">
        <v>2118</v>
      </c>
      <c r="B335" s="871">
        <f>'[1]PLAN DE DESARROLLO 2024 - 2027'!$J$161</f>
        <v>0.21734598565460142</v>
      </c>
      <c r="C335" s="869" t="s">
        <v>2126</v>
      </c>
      <c r="D335" s="871">
        <f>'[1]PLAN DE DESARROLLO 2024 - 2027'!$K$184</f>
        <v>0.20161705435056146</v>
      </c>
      <c r="E335" s="869" t="s">
        <v>2139</v>
      </c>
      <c r="F335" s="872">
        <f>'[1]PLAN DE DESARROLLO 2024 - 2027'!$K$186</f>
        <v>0.15999999999999998</v>
      </c>
      <c r="G335" s="869" t="s">
        <v>1021</v>
      </c>
      <c r="H335" s="869" t="s">
        <v>1219</v>
      </c>
      <c r="I335" s="902">
        <f>+'Innovación Pública'!Z89</f>
        <v>0</v>
      </c>
      <c r="J335" s="869" t="s">
        <v>1012</v>
      </c>
      <c r="K335" s="873" t="s">
        <v>2004</v>
      </c>
      <c r="P335"/>
    </row>
    <row r="336" spans="1:16" ht="43.8" thickBot="1" x14ac:dyDescent="0.35">
      <c r="A336" s="869" t="s">
        <v>2118</v>
      </c>
      <c r="B336" s="871">
        <f>'[1]PLAN DE DESARROLLO 2024 - 2027'!$J$161</f>
        <v>0.21734598565460142</v>
      </c>
      <c r="C336" s="869" t="s">
        <v>2126</v>
      </c>
      <c r="D336" s="871">
        <f>'[1]PLAN DE DESARROLLO 2024 - 2027'!$K$184</f>
        <v>0.20161705435056146</v>
      </c>
      <c r="E336" s="869" t="s">
        <v>2139</v>
      </c>
      <c r="F336" s="872">
        <f>'[1]PLAN DE DESARROLLO 2024 - 2027'!$K$186</f>
        <v>0.15999999999999998</v>
      </c>
      <c r="G336" s="869" t="s">
        <v>1022</v>
      </c>
      <c r="H336" s="869" t="s">
        <v>1220</v>
      </c>
      <c r="I336" s="901">
        <f>+'Innovación Pública'!Z90</f>
        <v>0.5</v>
      </c>
      <c r="J336" s="869" t="s">
        <v>1012</v>
      </c>
      <c r="K336" s="873" t="s">
        <v>2004</v>
      </c>
      <c r="P336"/>
    </row>
    <row r="337" spans="1:16" ht="43.8" thickBot="1" x14ac:dyDescent="0.35">
      <c r="A337" s="869" t="s">
        <v>2118</v>
      </c>
      <c r="B337" s="871">
        <f>'[1]PLAN DE DESARROLLO 2024 - 2027'!$J$161</f>
        <v>0.21734598565460142</v>
      </c>
      <c r="C337" s="869" t="s">
        <v>2126</v>
      </c>
      <c r="D337" s="871">
        <f>'[1]PLAN DE DESARROLLO 2024 - 2027'!$K$184</f>
        <v>0.20161705435056146</v>
      </c>
      <c r="E337" s="869" t="s">
        <v>2139</v>
      </c>
      <c r="F337" s="872">
        <f>'[1]PLAN DE DESARROLLO 2024 - 2027'!$K$186</f>
        <v>0.15999999999999998</v>
      </c>
      <c r="G337" s="869" t="s">
        <v>1023</v>
      </c>
      <c r="H337" s="869" t="s">
        <v>1221</v>
      </c>
      <c r="I337" s="902">
        <f>+'Innovación Pública'!Z91</f>
        <v>0</v>
      </c>
      <c r="J337" s="869" t="s">
        <v>1012</v>
      </c>
      <c r="K337" s="873" t="s">
        <v>2004</v>
      </c>
      <c r="P337"/>
    </row>
    <row r="338" spans="1:16" ht="29.4" thickBot="1" x14ac:dyDescent="0.35">
      <c r="A338" s="869" t="s">
        <v>2118</v>
      </c>
      <c r="B338" s="871">
        <f>'[1]PLAN DE DESARROLLO 2024 - 2027'!$J$161</f>
        <v>0.21734598565460142</v>
      </c>
      <c r="C338" s="869" t="s">
        <v>2126</v>
      </c>
      <c r="D338" s="871">
        <f>'[1]PLAN DE DESARROLLO 2024 - 2027'!$K$184</f>
        <v>0.20161705435056146</v>
      </c>
      <c r="E338" s="869" t="s">
        <v>1834</v>
      </c>
      <c r="F338" s="872">
        <f>'[1]PLAN DE DESARROLLO 2024 - 2027'!$K$188</f>
        <v>0.21366666666666667</v>
      </c>
      <c r="G338" s="869" t="s">
        <v>1026</v>
      </c>
      <c r="H338" s="869" t="s">
        <v>1223</v>
      </c>
      <c r="I338" s="901">
        <f>+'Innovación Pública'!Z95</f>
        <v>0.39484000000000002</v>
      </c>
      <c r="J338" s="869" t="s">
        <v>1012</v>
      </c>
      <c r="K338" s="873" t="s">
        <v>2004</v>
      </c>
      <c r="P338"/>
    </row>
    <row r="339" spans="1:16" ht="29.4" thickBot="1" x14ac:dyDescent="0.35">
      <c r="A339" s="869" t="s">
        <v>2118</v>
      </c>
      <c r="B339" s="871">
        <f>'[1]PLAN DE DESARROLLO 2024 - 2027'!$J$161</f>
        <v>0.21734598565460142</v>
      </c>
      <c r="C339" s="869" t="s">
        <v>2126</v>
      </c>
      <c r="D339" s="871">
        <f>'[1]PLAN DE DESARROLLO 2024 - 2027'!$K$184</f>
        <v>0.20161705435056146</v>
      </c>
      <c r="E339" s="869" t="s">
        <v>1834</v>
      </c>
      <c r="F339" s="872">
        <f>'[1]PLAN DE DESARROLLO 2024 - 2027'!$K$188</f>
        <v>0.21366666666666667</v>
      </c>
      <c r="G339" s="869" t="s">
        <v>1027</v>
      </c>
      <c r="H339" s="869" t="s">
        <v>1224</v>
      </c>
      <c r="I339" s="901">
        <f>+'Innovación Pública'!Z96</f>
        <v>0.5</v>
      </c>
      <c r="J339" s="869" t="s">
        <v>1012</v>
      </c>
      <c r="K339" s="873" t="s">
        <v>2004</v>
      </c>
      <c r="P339"/>
    </row>
    <row r="340" spans="1:16" ht="43.8" thickBot="1" x14ac:dyDescent="0.35">
      <c r="A340" s="869" t="s">
        <v>2118</v>
      </c>
      <c r="B340" s="871">
        <f>'[1]PLAN DE DESARROLLO 2024 - 2027'!$J$161</f>
        <v>0.21734598565460142</v>
      </c>
      <c r="C340" s="869" t="s">
        <v>2126</v>
      </c>
      <c r="D340" s="871">
        <f>'[1]PLAN DE DESARROLLO 2024 - 2027'!$K$184</f>
        <v>0.20161705435056146</v>
      </c>
      <c r="E340" s="869" t="s">
        <v>1834</v>
      </c>
      <c r="F340" s="872">
        <f>'[1]PLAN DE DESARROLLO 2024 - 2027'!$K$188</f>
        <v>0.21366666666666667</v>
      </c>
      <c r="G340" s="869" t="s">
        <v>1028</v>
      </c>
      <c r="H340" s="869" t="s">
        <v>1225</v>
      </c>
      <c r="I340" s="901">
        <f>+'Innovación Pública'!Z97</f>
        <v>0.5</v>
      </c>
      <c r="J340" s="869" t="s">
        <v>1012</v>
      </c>
      <c r="K340" s="873" t="s">
        <v>2004</v>
      </c>
      <c r="P340"/>
    </row>
    <row r="341" spans="1:16" ht="43.8" thickBot="1" x14ac:dyDescent="0.35">
      <c r="A341" s="869" t="s">
        <v>2118</v>
      </c>
      <c r="B341" s="871">
        <f>'[1]PLAN DE DESARROLLO 2024 - 2027'!$J$161</f>
        <v>0.21734598565460142</v>
      </c>
      <c r="C341" s="869" t="s">
        <v>2126</v>
      </c>
      <c r="D341" s="871">
        <f>'[1]PLAN DE DESARROLLO 2024 - 2027'!$K$184</f>
        <v>0.20161705435056146</v>
      </c>
      <c r="E341" s="869" t="s">
        <v>1834</v>
      </c>
      <c r="F341" s="872">
        <f>'[1]PLAN DE DESARROLLO 2024 - 2027'!$K$188</f>
        <v>0.21366666666666667</v>
      </c>
      <c r="G341" s="869" t="s">
        <v>1029</v>
      </c>
      <c r="H341" s="869" t="s">
        <v>1226</v>
      </c>
      <c r="I341" s="902">
        <f>+'Innovación Pública'!Z98</f>
        <v>0.33800000000000002</v>
      </c>
      <c r="J341" s="869" t="s">
        <v>1012</v>
      </c>
      <c r="K341" s="873" t="s">
        <v>2004</v>
      </c>
      <c r="P341"/>
    </row>
    <row r="342" spans="1:16" ht="29.4" thickBot="1" x14ac:dyDescent="0.35">
      <c r="A342" s="869" t="s">
        <v>2118</v>
      </c>
      <c r="B342" s="871">
        <f>'[1]PLAN DE DESARROLLO 2024 - 2027'!$J$161</f>
        <v>0.21734598565460142</v>
      </c>
      <c r="C342" s="869" t="s">
        <v>2126</v>
      </c>
      <c r="D342" s="871">
        <f>'[1]PLAN DE DESARROLLO 2024 - 2027'!$K$184</f>
        <v>0.20161705435056146</v>
      </c>
      <c r="E342" s="869" t="s">
        <v>2140</v>
      </c>
      <c r="F342" s="872">
        <f>'[1]PLAN DE DESARROLLO 2024 - 2027'!$K$189</f>
        <v>0.295375</v>
      </c>
      <c r="G342" s="869" t="s">
        <v>1030</v>
      </c>
      <c r="H342" s="869" t="s">
        <v>1227</v>
      </c>
      <c r="I342" s="902">
        <f>+'Innovación Pública'!Z100</f>
        <v>1</v>
      </c>
      <c r="J342" s="869" t="s">
        <v>58</v>
      </c>
      <c r="K342" s="873" t="s">
        <v>2004</v>
      </c>
      <c r="P342"/>
    </row>
    <row r="343" spans="1:16" ht="29.4" thickBot="1" x14ac:dyDescent="0.35">
      <c r="A343" s="869" t="s">
        <v>2118</v>
      </c>
      <c r="B343" s="871">
        <f>'[1]PLAN DE DESARROLLO 2024 - 2027'!$J$161</f>
        <v>0.21734598565460142</v>
      </c>
      <c r="C343" s="869" t="s">
        <v>2126</v>
      </c>
      <c r="D343" s="871">
        <f>'[1]PLAN DE DESARROLLO 2024 - 2027'!$K$184</f>
        <v>0.20161705435056146</v>
      </c>
      <c r="E343" s="869" t="s">
        <v>2140</v>
      </c>
      <c r="F343" s="872">
        <f>'[1]PLAN DE DESARROLLO 2024 - 2027'!$K$189</f>
        <v>0.295375</v>
      </c>
      <c r="G343" s="869" t="s">
        <v>1031</v>
      </c>
      <c r="H343" s="869" t="s">
        <v>1228</v>
      </c>
      <c r="I343" s="902">
        <f>+'Innovación Pública'!Z101</f>
        <v>1</v>
      </c>
      <c r="J343" s="869" t="s">
        <v>58</v>
      </c>
      <c r="K343" s="873" t="s">
        <v>2004</v>
      </c>
      <c r="P343"/>
    </row>
    <row r="344" spans="1:16" ht="29.4" thickBot="1" x14ac:dyDescent="0.35">
      <c r="A344" s="869" t="s">
        <v>2118</v>
      </c>
      <c r="B344" s="871">
        <f>'[1]PLAN DE DESARROLLO 2024 - 2027'!$J$161</f>
        <v>0.21734598565460142</v>
      </c>
      <c r="C344" s="869" t="s">
        <v>2126</v>
      </c>
      <c r="D344" s="871">
        <f>'[1]PLAN DE DESARROLLO 2024 - 2027'!$K$184</f>
        <v>0.20161705435056146</v>
      </c>
      <c r="E344" s="869" t="s">
        <v>2140</v>
      </c>
      <c r="F344" s="872">
        <f>'[1]PLAN DE DESARROLLO 2024 - 2027'!$K$189</f>
        <v>0.295375</v>
      </c>
      <c r="G344" s="869" t="s">
        <v>1032</v>
      </c>
      <c r="H344" s="869" t="s">
        <v>1229</v>
      </c>
      <c r="I344" s="901">
        <f>+'Innovación Pública'!Z102</f>
        <v>0.54025000000000001</v>
      </c>
      <c r="J344" s="869" t="s">
        <v>58</v>
      </c>
      <c r="K344" s="873" t="s">
        <v>2004</v>
      </c>
      <c r="P344"/>
    </row>
    <row r="345" spans="1:16" ht="29.4" thickBot="1" x14ac:dyDescent="0.35">
      <c r="A345" s="869" t="s">
        <v>2118</v>
      </c>
      <c r="B345" s="871">
        <f>'[1]PLAN DE DESARROLLO 2024 - 2027'!$J$161</f>
        <v>0.21734598565460142</v>
      </c>
      <c r="C345" s="869" t="s">
        <v>2126</v>
      </c>
      <c r="D345" s="871">
        <f>'[1]PLAN DE DESARROLLO 2024 - 2027'!$K$184</f>
        <v>0.20161705435056146</v>
      </c>
      <c r="E345" s="869" t="s">
        <v>2140</v>
      </c>
      <c r="F345" s="872">
        <f>'[1]PLAN DE DESARROLLO 2024 - 2027'!$K$189</f>
        <v>0.295375</v>
      </c>
      <c r="G345" s="869" t="s">
        <v>1033</v>
      </c>
      <c r="H345" s="869" t="s">
        <v>1230</v>
      </c>
      <c r="I345" s="901">
        <f>+'Innovación Pública'!Z103</f>
        <v>0.5</v>
      </c>
      <c r="J345" s="869" t="s">
        <v>58</v>
      </c>
      <c r="K345" s="873" t="s">
        <v>2004</v>
      </c>
      <c r="P345"/>
    </row>
    <row r="346" spans="1:16" ht="29.4" thickBot="1" x14ac:dyDescent="0.35">
      <c r="A346" s="869" t="s">
        <v>2118</v>
      </c>
      <c r="B346" s="871">
        <f>'[1]PLAN DE DESARROLLO 2024 - 2027'!$J$161</f>
        <v>0.21734598565460142</v>
      </c>
      <c r="C346" s="869" t="s">
        <v>2126</v>
      </c>
      <c r="D346" s="871">
        <f>'[1]PLAN DE DESARROLLO 2024 - 2027'!$K$184</f>
        <v>0.20161705435056146</v>
      </c>
      <c r="E346" s="869" t="s">
        <v>2140</v>
      </c>
      <c r="F346" s="872">
        <f>'[1]PLAN DE DESARROLLO 2024 - 2027'!$K$189</f>
        <v>0.295375</v>
      </c>
      <c r="G346" s="869" t="s">
        <v>1034</v>
      </c>
      <c r="H346" s="869" t="s">
        <v>1231</v>
      </c>
      <c r="I346" s="901">
        <f>+'Innovación Pública'!Z104</f>
        <v>0.5</v>
      </c>
      <c r="J346" s="869" t="s">
        <v>58</v>
      </c>
      <c r="K346" s="873" t="s">
        <v>2004</v>
      </c>
      <c r="P346"/>
    </row>
    <row r="347" spans="1:16" ht="29.4" thickBot="1" x14ac:dyDescent="0.35">
      <c r="A347" s="869" t="s">
        <v>2118</v>
      </c>
      <c r="B347" s="871">
        <f>'[1]PLAN DE DESARROLLO 2024 - 2027'!$J$161</f>
        <v>0.21734598565460142</v>
      </c>
      <c r="C347" s="869" t="s">
        <v>2126</v>
      </c>
      <c r="D347" s="871">
        <f>'[1]PLAN DE DESARROLLO 2024 - 2027'!$K$184</f>
        <v>0.20161705435056146</v>
      </c>
      <c r="E347" s="869" t="s">
        <v>2141</v>
      </c>
      <c r="F347" s="872">
        <f>'[1]PLAN DE DESARROLLO 2024 - 2027'!$K$190</f>
        <v>0.12622222222222224</v>
      </c>
      <c r="G347" s="869" t="s">
        <v>1035</v>
      </c>
      <c r="H347" s="869" t="s">
        <v>1232</v>
      </c>
      <c r="I347" s="901">
        <f>+'Innovación Pública'!Z106</f>
        <v>0.5</v>
      </c>
      <c r="J347" s="869" t="s">
        <v>58</v>
      </c>
      <c r="K347" s="873" t="s">
        <v>2004</v>
      </c>
      <c r="P347"/>
    </row>
    <row r="348" spans="1:16" ht="29.4" thickBot="1" x14ac:dyDescent="0.35">
      <c r="A348" s="869" t="s">
        <v>2118</v>
      </c>
      <c r="B348" s="871">
        <f>'[1]PLAN DE DESARROLLO 2024 - 2027'!$J$161</f>
        <v>0.21734598565460142</v>
      </c>
      <c r="C348" s="869" t="s">
        <v>2126</v>
      </c>
      <c r="D348" s="871">
        <f>'[1]PLAN DE DESARROLLO 2024 - 2027'!$K$184</f>
        <v>0.20161705435056146</v>
      </c>
      <c r="E348" s="869" t="s">
        <v>2141</v>
      </c>
      <c r="F348" s="872">
        <f>'[1]PLAN DE DESARROLLO 2024 - 2027'!$K$190</f>
        <v>0.12622222222222224</v>
      </c>
      <c r="G348" s="869" t="s">
        <v>1036</v>
      </c>
      <c r="H348" s="869" t="s">
        <v>1233</v>
      </c>
      <c r="I348" s="901">
        <f>+'Innovación Pública'!Z107</f>
        <v>0.40966666666666668</v>
      </c>
      <c r="J348" s="869" t="s">
        <v>58</v>
      </c>
      <c r="K348" s="873" t="s">
        <v>2004</v>
      </c>
      <c r="P348"/>
    </row>
    <row r="349" spans="1:16" ht="29.4" thickBot="1" x14ac:dyDescent="0.35">
      <c r="A349" s="869" t="s">
        <v>2118</v>
      </c>
      <c r="B349" s="871">
        <f>'[1]PLAN DE DESARROLLO 2024 - 2027'!$J$161</f>
        <v>0.21734598565460142</v>
      </c>
      <c r="C349" s="869" t="s">
        <v>2126</v>
      </c>
      <c r="D349" s="871">
        <f>'[1]PLAN DE DESARROLLO 2024 - 2027'!$K$184</f>
        <v>0.20161705435056146</v>
      </c>
      <c r="E349" s="869" t="s">
        <v>2141</v>
      </c>
      <c r="F349" s="872">
        <f>'[1]PLAN DE DESARROLLO 2024 - 2027'!$K$190</f>
        <v>0.12622222222222224</v>
      </c>
      <c r="G349" s="869" t="s">
        <v>1037</v>
      </c>
      <c r="H349" s="869" t="s">
        <v>1234</v>
      </c>
      <c r="I349" s="902">
        <f>+'Innovación Pública'!Z108</f>
        <v>1</v>
      </c>
      <c r="J349" s="869" t="s">
        <v>58</v>
      </c>
      <c r="K349" s="873" t="s">
        <v>2004</v>
      </c>
      <c r="P349"/>
    </row>
    <row r="350" spans="1:16" ht="29.4" thickBot="1" x14ac:dyDescent="0.35">
      <c r="A350" s="869" t="s">
        <v>2118</v>
      </c>
      <c r="B350" s="871">
        <f>'[1]PLAN DE DESARROLLO 2024 - 2027'!$J$161</f>
        <v>0.21734598565460142</v>
      </c>
      <c r="C350" s="869" t="s">
        <v>2142</v>
      </c>
      <c r="D350" s="871">
        <f>'[1]PLAN DE DESARROLLO 2024 - 2027'!$K$191</f>
        <v>0.25033330230104422</v>
      </c>
      <c r="E350" s="869" t="s">
        <v>2143</v>
      </c>
      <c r="F350" s="872">
        <f>'[1]PLAN DE DESARROLLO 2024 - 2027'!$K$192</f>
        <v>0.29666666666666669</v>
      </c>
      <c r="G350" s="869" t="s">
        <v>1038</v>
      </c>
      <c r="H350" s="869" t="s">
        <v>1235</v>
      </c>
      <c r="I350" s="901">
        <f>+'Innovación Pública'!Z111</f>
        <v>1</v>
      </c>
      <c r="J350" s="869" t="s">
        <v>560</v>
      </c>
      <c r="K350" s="873" t="s">
        <v>2004</v>
      </c>
      <c r="P350"/>
    </row>
    <row r="351" spans="1:16" ht="29.4" thickBot="1" x14ac:dyDescent="0.35">
      <c r="A351" s="869" t="s">
        <v>2118</v>
      </c>
      <c r="B351" s="871">
        <f>'[1]PLAN DE DESARROLLO 2024 - 2027'!$J$161</f>
        <v>0.21734598565460142</v>
      </c>
      <c r="C351" s="869" t="s">
        <v>2142</v>
      </c>
      <c r="D351" s="871">
        <f>'[1]PLAN DE DESARROLLO 2024 - 2027'!$K$191</f>
        <v>0.25033330230104422</v>
      </c>
      <c r="E351" s="869" t="s">
        <v>2143</v>
      </c>
      <c r="F351" s="872">
        <f>'[1]PLAN DE DESARROLLO 2024 - 2027'!$K$192</f>
        <v>0.29666666666666669</v>
      </c>
      <c r="G351" s="869" t="s">
        <v>1039</v>
      </c>
      <c r="H351" s="869" t="s">
        <v>1236</v>
      </c>
      <c r="I351" s="901">
        <f>+'Innovación Pública'!Z112</f>
        <v>0.83333333333333337</v>
      </c>
      <c r="J351" s="869" t="s">
        <v>560</v>
      </c>
      <c r="K351" s="873" t="s">
        <v>2004</v>
      </c>
      <c r="P351"/>
    </row>
    <row r="352" spans="1:16" ht="29.4" thickBot="1" x14ac:dyDescent="0.35">
      <c r="A352" s="869" t="s">
        <v>2118</v>
      </c>
      <c r="B352" s="871">
        <f>'[1]PLAN DE DESARROLLO 2024 - 2027'!$J$161</f>
        <v>0.21734598565460142</v>
      </c>
      <c r="C352" s="869" t="s">
        <v>2142</v>
      </c>
      <c r="D352" s="871">
        <f>'[1]PLAN DE DESARROLLO 2024 - 2027'!$K$191</f>
        <v>0.25033330230104422</v>
      </c>
      <c r="E352" s="869" t="s">
        <v>2143</v>
      </c>
      <c r="F352" s="872">
        <f>'[1]PLAN DE DESARROLLO 2024 - 2027'!$K$192</f>
        <v>0.29666666666666669</v>
      </c>
      <c r="G352" s="869" t="s">
        <v>1040</v>
      </c>
      <c r="H352" s="869" t="s">
        <v>1237</v>
      </c>
      <c r="I352" s="901">
        <f>+'Innovación Pública'!Z113</f>
        <v>0.83333333333333337</v>
      </c>
      <c r="J352" s="869" t="s">
        <v>560</v>
      </c>
      <c r="K352" s="873" t="s">
        <v>2004</v>
      </c>
      <c r="P352"/>
    </row>
    <row r="353" spans="1:16" ht="29.4" thickBot="1" x14ac:dyDescent="0.35">
      <c r="A353" s="869" t="s">
        <v>2118</v>
      </c>
      <c r="B353" s="871">
        <f>'[1]PLAN DE DESARROLLO 2024 - 2027'!$J$161</f>
        <v>0.21734598565460142</v>
      </c>
      <c r="C353" s="869" t="s">
        <v>2142</v>
      </c>
      <c r="D353" s="871">
        <f>'[1]PLAN DE DESARROLLO 2024 - 2027'!$K$191</f>
        <v>0.25033330230104422</v>
      </c>
      <c r="E353" s="869" t="s">
        <v>2143</v>
      </c>
      <c r="F353" s="872">
        <f>'[1]PLAN DE DESARROLLO 2024 - 2027'!$K$192</f>
        <v>0.29666666666666669</v>
      </c>
      <c r="G353" s="869" t="s">
        <v>1041</v>
      </c>
      <c r="H353" s="869" t="s">
        <v>1238</v>
      </c>
      <c r="I353" s="901">
        <f>+'Innovación Pública'!Z114</f>
        <v>1</v>
      </c>
      <c r="J353" s="869" t="s">
        <v>560</v>
      </c>
      <c r="K353" s="873" t="s">
        <v>2004</v>
      </c>
      <c r="P353"/>
    </row>
    <row r="354" spans="1:16" ht="29.4" thickBot="1" x14ac:dyDescent="0.35">
      <c r="A354" s="869" t="s">
        <v>2118</v>
      </c>
      <c r="B354" s="871">
        <f>'[1]PLAN DE DESARROLLO 2024 - 2027'!$J$161</f>
        <v>0.21734598565460142</v>
      </c>
      <c r="C354" s="869" t="s">
        <v>2142</v>
      </c>
      <c r="D354" s="871">
        <f>'[1]PLAN DE DESARROLLO 2024 - 2027'!$K$191</f>
        <v>0.25033330230104422</v>
      </c>
      <c r="E354" s="869" t="s">
        <v>2143</v>
      </c>
      <c r="F354" s="872">
        <f>'[1]PLAN DE DESARROLLO 2024 - 2027'!$K$192</f>
        <v>0.29666666666666669</v>
      </c>
      <c r="G354" s="869" t="s">
        <v>1042</v>
      </c>
      <c r="H354" s="869" t="s">
        <v>1239</v>
      </c>
      <c r="I354" s="901">
        <f>+'Innovación Pública'!Z115</f>
        <v>0.45</v>
      </c>
      <c r="J354" s="869" t="s">
        <v>560</v>
      </c>
      <c r="K354" s="873" t="s">
        <v>2004</v>
      </c>
      <c r="P354"/>
    </row>
    <row r="355" spans="1:16" ht="29.4" thickBot="1" x14ac:dyDescent="0.35">
      <c r="A355" s="869" t="s">
        <v>2118</v>
      </c>
      <c r="B355" s="871">
        <f>'[1]PLAN DE DESARROLLO 2024 - 2027'!$J$161</f>
        <v>0.21734598565460142</v>
      </c>
      <c r="C355" s="869" t="s">
        <v>2142</v>
      </c>
      <c r="D355" s="871">
        <f>'[1]PLAN DE DESARROLLO 2024 - 2027'!$K$191</f>
        <v>0.25033330230104422</v>
      </c>
      <c r="E355" s="869" t="s">
        <v>2144</v>
      </c>
      <c r="F355" s="872">
        <f>'[1]PLAN DE DESARROLLO 2024 - 2027'!$K$193</f>
        <v>0.24052272727272728</v>
      </c>
      <c r="G355" s="869" t="s">
        <v>2145</v>
      </c>
      <c r="H355" s="869" t="s">
        <v>1240</v>
      </c>
      <c r="I355" s="901">
        <f>+'Innovación Pública'!Z117</f>
        <v>0.5</v>
      </c>
      <c r="J355" s="869" t="s">
        <v>560</v>
      </c>
      <c r="K355" s="873" t="s">
        <v>2004</v>
      </c>
      <c r="P355"/>
    </row>
    <row r="356" spans="1:16" ht="29.4" thickBot="1" x14ac:dyDescent="0.35">
      <c r="A356" s="869" t="s">
        <v>2118</v>
      </c>
      <c r="B356" s="871">
        <f>'[1]PLAN DE DESARROLLO 2024 - 2027'!$J$161</f>
        <v>0.21734598565460142</v>
      </c>
      <c r="C356" s="869" t="s">
        <v>2142</v>
      </c>
      <c r="D356" s="871">
        <f>'[1]PLAN DE DESARROLLO 2024 - 2027'!$K$191</f>
        <v>0.25033330230104422</v>
      </c>
      <c r="E356" s="869" t="s">
        <v>2144</v>
      </c>
      <c r="F356" s="872">
        <f>'[1]PLAN DE DESARROLLO 2024 - 2027'!$K$193</f>
        <v>0.24052272727272728</v>
      </c>
      <c r="G356" s="869" t="s">
        <v>1044</v>
      </c>
      <c r="H356" s="869" t="s">
        <v>1241</v>
      </c>
      <c r="I356" s="901">
        <f>+'Innovación Pública'!Z118</f>
        <v>0.39899999999999997</v>
      </c>
      <c r="J356" s="869" t="s">
        <v>560</v>
      </c>
      <c r="K356" s="873" t="s">
        <v>2004</v>
      </c>
      <c r="P356"/>
    </row>
    <row r="357" spans="1:16" ht="29.4" thickBot="1" x14ac:dyDescent="0.35">
      <c r="A357" s="869" t="s">
        <v>2118</v>
      </c>
      <c r="B357" s="871">
        <f>'[1]PLAN DE DESARROLLO 2024 - 2027'!$J$161</f>
        <v>0.21734598565460142</v>
      </c>
      <c r="C357" s="869" t="s">
        <v>2142</v>
      </c>
      <c r="D357" s="871">
        <f>'[1]PLAN DE DESARROLLO 2024 - 2027'!$K$191</f>
        <v>0.25033330230104422</v>
      </c>
      <c r="E357" s="869" t="s">
        <v>2144</v>
      </c>
      <c r="F357" s="872">
        <f>'[1]PLAN DE DESARROLLO 2024 - 2027'!$K$193</f>
        <v>0.24052272727272728</v>
      </c>
      <c r="G357" s="869" t="s">
        <v>1045</v>
      </c>
      <c r="H357" s="869" t="s">
        <v>1242</v>
      </c>
      <c r="I357" s="901">
        <f>+'Innovación Pública'!Z119</f>
        <v>0.495</v>
      </c>
      <c r="J357" s="869" t="s">
        <v>560</v>
      </c>
      <c r="K357" s="873" t="s">
        <v>2004</v>
      </c>
      <c r="P357"/>
    </row>
    <row r="358" spans="1:16" ht="29.4" thickBot="1" x14ac:dyDescent="0.35">
      <c r="A358" s="869" t="s">
        <v>2118</v>
      </c>
      <c r="B358" s="871">
        <f>'[1]PLAN DE DESARROLLO 2024 - 2027'!$J$161</f>
        <v>0.21734598565460142</v>
      </c>
      <c r="C358" s="869" t="s">
        <v>2142</v>
      </c>
      <c r="D358" s="871">
        <f>'[1]PLAN DE DESARROLLO 2024 - 2027'!$K$191</f>
        <v>0.25033330230104422</v>
      </c>
      <c r="E358" s="869" t="s">
        <v>2144</v>
      </c>
      <c r="F358" s="872">
        <f>'[1]PLAN DE DESARROLLO 2024 - 2027'!$K$193</f>
        <v>0.24052272727272728</v>
      </c>
      <c r="G358" s="869" t="s">
        <v>1046</v>
      </c>
      <c r="H358" s="869" t="s">
        <v>1243</v>
      </c>
      <c r="I358" s="901">
        <f>+'Innovación Pública'!Z120</f>
        <v>0.39885000000000004</v>
      </c>
      <c r="J358" s="869" t="s">
        <v>560</v>
      </c>
      <c r="K358" s="873" t="s">
        <v>2004</v>
      </c>
      <c r="P358"/>
    </row>
    <row r="359" spans="1:16" ht="43.8" thickBot="1" x14ac:dyDescent="0.35">
      <c r="A359" s="869" t="s">
        <v>2118</v>
      </c>
      <c r="B359" s="871">
        <f>'[1]PLAN DE DESARROLLO 2024 - 2027'!$J$161</f>
        <v>0.21734598565460142</v>
      </c>
      <c r="C359" s="869" t="s">
        <v>2142</v>
      </c>
      <c r="D359" s="871">
        <f>'[1]PLAN DE DESARROLLO 2024 - 2027'!$K$191</f>
        <v>0.25033330230104422</v>
      </c>
      <c r="E359" s="869" t="s">
        <v>2144</v>
      </c>
      <c r="F359" s="872">
        <f>'[1]PLAN DE DESARROLLO 2024 - 2027'!$K$193</f>
        <v>0.24052272727272728</v>
      </c>
      <c r="G359" s="869" t="s">
        <v>1047</v>
      </c>
      <c r="H359" s="869" t="s">
        <v>1244</v>
      </c>
      <c r="I359" s="901">
        <f>+'Innovación Pública'!Z121</f>
        <v>0.6875</v>
      </c>
      <c r="J359" s="869" t="s">
        <v>560</v>
      </c>
      <c r="K359" s="873" t="s">
        <v>2004</v>
      </c>
      <c r="P359"/>
    </row>
    <row r="360" spans="1:16" ht="43.8" thickBot="1" x14ac:dyDescent="0.35">
      <c r="A360" s="869" t="s">
        <v>2118</v>
      </c>
      <c r="B360" s="871">
        <f>'[1]PLAN DE DESARROLLO 2024 - 2027'!$J$161</f>
        <v>0.21734598565460142</v>
      </c>
      <c r="C360" s="869" t="s">
        <v>2142</v>
      </c>
      <c r="D360" s="871">
        <f>'[1]PLAN DE DESARROLLO 2024 - 2027'!$K$191</f>
        <v>0.25033330230104422</v>
      </c>
      <c r="E360" s="869" t="s">
        <v>2144</v>
      </c>
      <c r="F360" s="872">
        <f>'[1]PLAN DE DESARROLLO 2024 - 2027'!$K$193</f>
        <v>0.24052272727272728</v>
      </c>
      <c r="G360" s="869" t="s">
        <v>1048</v>
      </c>
      <c r="H360" s="869" t="s">
        <v>1245</v>
      </c>
      <c r="I360" s="901">
        <f>+'Innovación Pública'!Z122</f>
        <v>0.75</v>
      </c>
      <c r="J360" s="869" t="s">
        <v>560</v>
      </c>
      <c r="K360" s="873" t="s">
        <v>2004</v>
      </c>
      <c r="P360"/>
    </row>
    <row r="361" spans="1:16" ht="29.4" thickBot="1" x14ac:dyDescent="0.35">
      <c r="A361" s="869" t="s">
        <v>2118</v>
      </c>
      <c r="B361" s="871">
        <f>'[1]PLAN DE DESARROLLO 2024 - 2027'!$J$161</f>
        <v>0.21734598565460142</v>
      </c>
      <c r="C361" s="869" t="s">
        <v>2142</v>
      </c>
      <c r="D361" s="871">
        <f>'[1]PLAN DE DESARROLLO 2024 - 2027'!$K$191</f>
        <v>0.25033330230104422</v>
      </c>
      <c r="E361" s="869" t="s">
        <v>2146</v>
      </c>
      <c r="F361" s="872">
        <f>'[1]PLAN DE DESARROLLO 2024 - 2027'!$K$194</f>
        <v>0.26828264208909369</v>
      </c>
      <c r="G361" s="869" t="s">
        <v>1049</v>
      </c>
      <c r="H361" s="869" t="s">
        <v>1246</v>
      </c>
      <c r="I361" s="901">
        <f>+'Innovación Pública'!Z124</f>
        <v>0.5625</v>
      </c>
      <c r="J361" s="869" t="s">
        <v>560</v>
      </c>
      <c r="K361" s="873" t="s">
        <v>2004</v>
      </c>
      <c r="P361"/>
    </row>
    <row r="362" spans="1:16" ht="29.4" thickBot="1" x14ac:dyDescent="0.35">
      <c r="A362" s="869" t="s">
        <v>2118</v>
      </c>
      <c r="B362" s="871">
        <f>'[1]PLAN DE DESARROLLO 2024 - 2027'!$J$161</f>
        <v>0.21734598565460142</v>
      </c>
      <c r="C362" s="869" t="s">
        <v>2142</v>
      </c>
      <c r="D362" s="871">
        <f>'[1]PLAN DE DESARROLLO 2024 - 2027'!$K$191</f>
        <v>0.25033330230104422</v>
      </c>
      <c r="E362" s="869" t="s">
        <v>2146</v>
      </c>
      <c r="F362" s="872">
        <f>'[1]PLAN DE DESARROLLO 2024 - 2027'!$K$194</f>
        <v>0.26828264208909369</v>
      </c>
      <c r="G362" s="869" t="s">
        <v>1050</v>
      </c>
      <c r="H362" s="869" t="s">
        <v>1247</v>
      </c>
      <c r="I362" s="901">
        <f>+'Innovación Pública'!Z125</f>
        <v>0.5</v>
      </c>
      <c r="J362" s="869" t="s">
        <v>560</v>
      </c>
      <c r="K362" s="873" t="s">
        <v>2004</v>
      </c>
      <c r="P362"/>
    </row>
    <row r="363" spans="1:16" ht="29.4" thickBot="1" x14ac:dyDescent="0.35">
      <c r="A363" s="869" t="s">
        <v>2118</v>
      </c>
      <c r="B363" s="871">
        <f>'[1]PLAN DE DESARROLLO 2024 - 2027'!$J$161</f>
        <v>0.21734598565460142</v>
      </c>
      <c r="C363" s="869" t="s">
        <v>2142</v>
      </c>
      <c r="D363" s="871">
        <f>'[1]PLAN DE DESARROLLO 2024 - 2027'!$K$191</f>
        <v>0.25033330230104422</v>
      </c>
      <c r="E363" s="869" t="s">
        <v>2146</v>
      </c>
      <c r="F363" s="872">
        <f>'[1]PLAN DE DESARROLLO 2024 - 2027'!$K$194</f>
        <v>0.26828264208909369</v>
      </c>
      <c r="G363" s="869" t="s">
        <v>1051</v>
      </c>
      <c r="H363" s="869" t="s">
        <v>1248</v>
      </c>
      <c r="I363" s="901">
        <f>+'Innovación Pública'!Z126</f>
        <v>1</v>
      </c>
      <c r="J363" s="869" t="s">
        <v>560</v>
      </c>
      <c r="K363" s="873" t="s">
        <v>2004</v>
      </c>
      <c r="P363"/>
    </row>
    <row r="364" spans="1:16" ht="29.4" thickBot="1" x14ac:dyDescent="0.35">
      <c r="A364" s="869" t="s">
        <v>2118</v>
      </c>
      <c r="B364" s="871">
        <f>'[1]PLAN DE DESARROLLO 2024 - 2027'!$J$161</f>
        <v>0.21734598565460142</v>
      </c>
      <c r="C364" s="869" t="s">
        <v>2142</v>
      </c>
      <c r="D364" s="871">
        <f>'[1]PLAN DE DESARROLLO 2024 - 2027'!$K$191</f>
        <v>0.25033330230104422</v>
      </c>
      <c r="E364" s="869" t="s">
        <v>2146</v>
      </c>
      <c r="F364" s="872">
        <f>'[1]PLAN DE DESARROLLO 2024 - 2027'!$K$194</f>
        <v>0.26828264208909369</v>
      </c>
      <c r="G364" s="869" t="s">
        <v>1052</v>
      </c>
      <c r="H364" s="869" t="s">
        <v>1249</v>
      </c>
      <c r="I364" s="901">
        <f>+'Innovación Pública'!Z127</f>
        <v>0.5</v>
      </c>
      <c r="J364" s="869" t="s">
        <v>560</v>
      </c>
      <c r="K364" s="873" t="s">
        <v>2004</v>
      </c>
      <c r="P364"/>
    </row>
    <row r="365" spans="1:16" ht="29.4" thickBot="1" x14ac:dyDescent="0.35">
      <c r="A365" s="869" t="s">
        <v>2118</v>
      </c>
      <c r="B365" s="871">
        <f>'[1]PLAN DE DESARROLLO 2024 - 2027'!$J$161</f>
        <v>0.21734598565460142</v>
      </c>
      <c r="C365" s="869" t="s">
        <v>2142</v>
      </c>
      <c r="D365" s="871">
        <f>'[1]PLAN DE DESARROLLO 2024 - 2027'!$K$191</f>
        <v>0.25033330230104422</v>
      </c>
      <c r="E365" s="869" t="s">
        <v>2146</v>
      </c>
      <c r="F365" s="872">
        <f>'[1]PLAN DE DESARROLLO 2024 - 2027'!$K$194</f>
        <v>0.26828264208909369</v>
      </c>
      <c r="G365" s="869" t="s">
        <v>1053</v>
      </c>
      <c r="H365" s="869" t="s">
        <v>1250</v>
      </c>
      <c r="I365" s="901">
        <f>+'Innovación Pública'!Z128</f>
        <v>0.2</v>
      </c>
      <c r="J365" s="869" t="s">
        <v>560</v>
      </c>
      <c r="K365" s="873" t="s">
        <v>2004</v>
      </c>
      <c r="P365"/>
    </row>
    <row r="366" spans="1:16" ht="29.4" thickBot="1" x14ac:dyDescent="0.35">
      <c r="A366" s="869" t="s">
        <v>2118</v>
      </c>
      <c r="B366" s="871">
        <f>'[1]PLAN DE DESARROLLO 2024 - 2027'!$J$161</f>
        <v>0.21734598565460142</v>
      </c>
      <c r="C366" s="869" t="s">
        <v>2142</v>
      </c>
      <c r="D366" s="871">
        <f>'[1]PLAN DE DESARROLLO 2024 - 2027'!$K$191</f>
        <v>0.25033330230104422</v>
      </c>
      <c r="E366" s="869" t="s">
        <v>2146</v>
      </c>
      <c r="F366" s="872">
        <f>'[1]PLAN DE DESARROLLO 2024 - 2027'!$K$194</f>
        <v>0.26828264208909369</v>
      </c>
      <c r="G366" s="869" t="s">
        <v>1054</v>
      </c>
      <c r="H366" s="869" t="s">
        <v>1251</v>
      </c>
      <c r="I366" s="901">
        <f>+'Innovación Pública'!Z129</f>
        <v>0.5</v>
      </c>
      <c r="J366" s="869" t="s">
        <v>560</v>
      </c>
      <c r="K366" s="873" t="s">
        <v>2004</v>
      </c>
      <c r="P366"/>
    </row>
    <row r="367" spans="1:16" ht="29.4" thickBot="1" x14ac:dyDescent="0.35">
      <c r="A367" s="869" t="s">
        <v>2118</v>
      </c>
      <c r="B367" s="871">
        <f>'[1]PLAN DE DESARROLLO 2024 - 2027'!$J$161</f>
        <v>0.21734598565460142</v>
      </c>
      <c r="C367" s="869" t="s">
        <v>2142</v>
      </c>
      <c r="D367" s="871">
        <f>'[1]PLAN DE DESARROLLO 2024 - 2027'!$K$191</f>
        <v>0.25033330230104422</v>
      </c>
      <c r="E367" s="869" t="s">
        <v>2146</v>
      </c>
      <c r="F367" s="872">
        <f>'[1]PLAN DE DESARROLLO 2024 - 2027'!$K$194</f>
        <v>0.26828264208909369</v>
      </c>
      <c r="G367" s="869" t="s">
        <v>1055</v>
      </c>
      <c r="H367" s="869" t="s">
        <v>1252</v>
      </c>
      <c r="I367" s="901">
        <f>+'Innovación Pública'!Z130</f>
        <v>0</v>
      </c>
      <c r="J367" s="869" t="s">
        <v>560</v>
      </c>
      <c r="K367" s="873" t="s">
        <v>2004</v>
      </c>
      <c r="P367"/>
    </row>
    <row r="368" spans="1:16" ht="29.4" thickBot="1" x14ac:dyDescent="0.35">
      <c r="A368" s="869" t="s">
        <v>2118</v>
      </c>
      <c r="B368" s="871">
        <f>'[1]PLAN DE DESARROLLO 2024 - 2027'!$J$161</f>
        <v>0.21734598565460142</v>
      </c>
      <c r="C368" s="869" t="s">
        <v>2142</v>
      </c>
      <c r="D368" s="871">
        <f>'[1]PLAN DE DESARROLLO 2024 - 2027'!$K$191</f>
        <v>0.25033330230104422</v>
      </c>
      <c r="E368" s="869" t="s">
        <v>2147</v>
      </c>
      <c r="F368" s="872">
        <f>'[1]PLAN DE DESARROLLO 2024 - 2027'!$K$195</f>
        <v>0.31111111111111112</v>
      </c>
      <c r="G368" s="869" t="s">
        <v>1056</v>
      </c>
      <c r="H368" s="869" t="s">
        <v>1253</v>
      </c>
      <c r="I368" s="901">
        <f>+'Innovación Pública'!Z132</f>
        <v>0.44444444444444442</v>
      </c>
      <c r="J368" s="869" t="s">
        <v>560</v>
      </c>
      <c r="K368" s="873" t="s">
        <v>2004</v>
      </c>
      <c r="P368"/>
    </row>
    <row r="369" spans="1:16" ht="29.4" thickBot="1" x14ac:dyDescent="0.35">
      <c r="A369" s="869" t="s">
        <v>2118</v>
      </c>
      <c r="B369" s="871">
        <f>'[1]PLAN DE DESARROLLO 2024 - 2027'!$J$161</f>
        <v>0.21734598565460142</v>
      </c>
      <c r="C369" s="869" t="s">
        <v>2142</v>
      </c>
      <c r="D369" s="871">
        <f>'[1]PLAN DE DESARROLLO 2024 - 2027'!$K$191</f>
        <v>0.25033330230104422</v>
      </c>
      <c r="E369" s="869" t="s">
        <v>2147</v>
      </c>
      <c r="F369" s="872">
        <f>'[1]PLAN DE DESARROLLO 2024 - 2027'!$K$195</f>
        <v>0.31111111111111112</v>
      </c>
      <c r="G369" s="869" t="s">
        <v>1057</v>
      </c>
      <c r="H369" s="869" t="s">
        <v>1254</v>
      </c>
      <c r="I369" s="901">
        <f>+'Innovación Pública'!Z133</f>
        <v>1</v>
      </c>
      <c r="J369" s="869" t="s">
        <v>560</v>
      </c>
      <c r="K369" s="873" t="s">
        <v>2004</v>
      </c>
      <c r="P369"/>
    </row>
    <row r="370" spans="1:16" ht="29.4" thickBot="1" x14ac:dyDescent="0.35">
      <c r="A370" s="869" t="s">
        <v>2118</v>
      </c>
      <c r="B370" s="871">
        <f>'[1]PLAN DE DESARROLLO 2024 - 2027'!$J$161</f>
        <v>0.21734598565460142</v>
      </c>
      <c r="C370" s="869" t="s">
        <v>2142</v>
      </c>
      <c r="D370" s="871">
        <f>'[1]PLAN DE DESARROLLO 2024 - 2027'!$K$191</f>
        <v>0.25033330230104422</v>
      </c>
      <c r="E370" s="869" t="s">
        <v>1836</v>
      </c>
      <c r="F370" s="872">
        <f>'[1]PLAN DE DESARROLLO 2024 - 2027'!$K$196</f>
        <v>0.19791666666666666</v>
      </c>
      <c r="G370" s="869" t="s">
        <v>1058</v>
      </c>
      <c r="H370" s="869" t="s">
        <v>1255</v>
      </c>
      <c r="I370" s="902">
        <f>+'Innovación Pública'!Z135</f>
        <v>0.5</v>
      </c>
      <c r="J370" s="869" t="s">
        <v>2148</v>
      </c>
      <c r="K370" s="873" t="s">
        <v>2004</v>
      </c>
      <c r="P370"/>
    </row>
    <row r="371" spans="1:16" ht="29.4" thickBot="1" x14ac:dyDescent="0.35">
      <c r="A371" s="869" t="s">
        <v>2118</v>
      </c>
      <c r="B371" s="871">
        <f>'[1]PLAN DE DESARROLLO 2024 - 2027'!$J$161</f>
        <v>0.21734598565460142</v>
      </c>
      <c r="C371" s="869" t="s">
        <v>2142</v>
      </c>
      <c r="D371" s="871">
        <f>'[1]PLAN DE DESARROLLO 2024 - 2027'!$K$191</f>
        <v>0.25033330230104422</v>
      </c>
      <c r="E371" s="869" t="s">
        <v>1836</v>
      </c>
      <c r="F371" s="872">
        <f>'[1]PLAN DE DESARROLLO 2024 - 2027'!$K$196</f>
        <v>0.19791666666666666</v>
      </c>
      <c r="G371" s="869" t="s">
        <v>1060</v>
      </c>
      <c r="H371" s="869" t="s">
        <v>1256</v>
      </c>
      <c r="I371" s="902">
        <f>+'Innovación Pública'!Z136</f>
        <v>0</v>
      </c>
      <c r="J371" s="869" t="s">
        <v>560</v>
      </c>
      <c r="K371" s="873" t="s">
        <v>2004</v>
      </c>
      <c r="P371"/>
    </row>
    <row r="372" spans="1:16" ht="29.4" thickBot="1" x14ac:dyDescent="0.35">
      <c r="A372" s="869" t="s">
        <v>2118</v>
      </c>
      <c r="B372" s="871">
        <f>'[1]PLAN DE DESARROLLO 2024 - 2027'!$J$161</f>
        <v>0.21734598565460142</v>
      </c>
      <c r="C372" s="869" t="s">
        <v>2142</v>
      </c>
      <c r="D372" s="871">
        <f>'[1]PLAN DE DESARROLLO 2024 - 2027'!$K$191</f>
        <v>0.25033330230104422</v>
      </c>
      <c r="E372" s="869" t="s">
        <v>1836</v>
      </c>
      <c r="F372" s="872">
        <f>'[1]PLAN DE DESARROLLO 2024 - 2027'!$K$196</f>
        <v>0.19791666666666666</v>
      </c>
      <c r="G372" s="869" t="s">
        <v>1061</v>
      </c>
      <c r="H372" s="869" t="s">
        <v>1257</v>
      </c>
      <c r="I372" s="901">
        <f>+'Innovación Pública'!Z137</f>
        <v>0.35416666666666669</v>
      </c>
      <c r="J372" s="869" t="s">
        <v>560</v>
      </c>
      <c r="K372" s="873" t="s">
        <v>2004</v>
      </c>
      <c r="P372"/>
    </row>
    <row r="373" spans="1:16" ht="43.8" thickBot="1" x14ac:dyDescent="0.35">
      <c r="A373" s="869" t="s">
        <v>2118</v>
      </c>
      <c r="B373" s="871">
        <f>'[1]PLAN DE DESARROLLO 2024 - 2027'!$J$161</f>
        <v>0.21734598565460142</v>
      </c>
      <c r="C373" s="869" t="s">
        <v>2142</v>
      </c>
      <c r="D373" s="871">
        <f>'[1]PLAN DE DESARROLLO 2024 - 2027'!$K$191</f>
        <v>0.25033330230104422</v>
      </c>
      <c r="E373" s="869" t="s">
        <v>1836</v>
      </c>
      <c r="F373" s="872">
        <f>'[1]PLAN DE DESARROLLO 2024 - 2027'!$K$196</f>
        <v>0.19791666666666666</v>
      </c>
      <c r="G373" s="869" t="s">
        <v>1062</v>
      </c>
      <c r="H373" s="869" t="s">
        <v>1258</v>
      </c>
      <c r="I373" s="901">
        <f>+'Innovación Pública'!Z138</f>
        <v>0.25</v>
      </c>
      <c r="J373" s="869" t="s">
        <v>560</v>
      </c>
      <c r="K373" s="873" t="s">
        <v>2004</v>
      </c>
      <c r="P373"/>
    </row>
    <row r="374" spans="1:16" ht="29.4" thickBot="1" x14ac:dyDescent="0.35">
      <c r="A374" s="869" t="s">
        <v>2118</v>
      </c>
      <c r="B374" s="871">
        <f>'[1]PLAN DE DESARROLLO 2024 - 2027'!$J$161</f>
        <v>0.21734598565460142</v>
      </c>
      <c r="C374" s="869" t="s">
        <v>2142</v>
      </c>
      <c r="D374" s="871">
        <f>'[1]PLAN DE DESARROLLO 2024 - 2027'!$K$191</f>
        <v>0.25033330230104422</v>
      </c>
      <c r="E374" s="869" t="s">
        <v>2149</v>
      </c>
      <c r="F374" s="872">
        <f>'[1]PLAN DE DESARROLLO 2024 - 2027'!$K$197</f>
        <v>0.1875</v>
      </c>
      <c r="G374" s="869" t="s">
        <v>1063</v>
      </c>
      <c r="H374" s="869" t="s">
        <v>1259</v>
      </c>
      <c r="I374" s="901">
        <f>+'Innovación Pública'!Z140</f>
        <v>0.46</v>
      </c>
      <c r="J374" s="869" t="s">
        <v>2150</v>
      </c>
      <c r="K374" s="873" t="s">
        <v>2004</v>
      </c>
      <c r="P374"/>
    </row>
    <row r="375" spans="1:16" ht="29.4" thickBot="1" x14ac:dyDescent="0.35">
      <c r="A375" s="869" t="s">
        <v>2118</v>
      </c>
      <c r="B375" s="871">
        <f>'[1]PLAN DE DESARROLLO 2024 - 2027'!$J$161</f>
        <v>0.21734598565460142</v>
      </c>
      <c r="C375" s="869" t="s">
        <v>2142</v>
      </c>
      <c r="D375" s="871">
        <f>'[1]PLAN DE DESARROLLO 2024 - 2027'!$K$191</f>
        <v>0.25033330230104422</v>
      </c>
      <c r="E375" s="869" t="s">
        <v>2149</v>
      </c>
      <c r="F375" s="872">
        <f>'[1]PLAN DE DESARROLLO 2024 - 2027'!$K$197</f>
        <v>0.1875</v>
      </c>
      <c r="G375" s="869" t="s">
        <v>1065</v>
      </c>
      <c r="H375" s="869" t="s">
        <v>1260</v>
      </c>
      <c r="I375" s="901">
        <f>+'Innovación Pública'!Z141</f>
        <v>0.46</v>
      </c>
      <c r="J375" s="869" t="s">
        <v>2150</v>
      </c>
      <c r="K375" s="873" t="s">
        <v>2004</v>
      </c>
      <c r="P375"/>
    </row>
    <row r="376" spans="1:16" ht="29.4" thickBot="1" x14ac:dyDescent="0.35">
      <c r="A376" s="869" t="s">
        <v>2151</v>
      </c>
      <c r="B376" s="872">
        <f>'[1]PLAN DE DESARROLLO 2024 - 2027'!$K$4</f>
        <v>0.29293663727866731</v>
      </c>
      <c r="C376" s="869" t="s">
        <v>2152</v>
      </c>
      <c r="D376" s="872">
        <f>'[1]PLAN DE DESARROLLO 2024 - 2027'!$K$26</f>
        <v>0.26520247826018756</v>
      </c>
      <c r="E376" s="869" t="s">
        <v>1617</v>
      </c>
      <c r="F376" s="872">
        <f>'[1]PLAN DE DESARROLLO 2024 - 2027'!$K$33</f>
        <v>0</v>
      </c>
      <c r="G376" s="869" t="s">
        <v>286</v>
      </c>
      <c r="H376" s="869" t="s">
        <v>287</v>
      </c>
      <c r="I376" s="901">
        <f>+'Seguridad Humana'!Z167</f>
        <v>0.25</v>
      </c>
      <c r="J376" s="869" t="s">
        <v>58</v>
      </c>
      <c r="K376" s="873" t="s">
        <v>2004</v>
      </c>
      <c r="P376"/>
    </row>
    <row r="377" spans="1:16" ht="43.8" thickBot="1" x14ac:dyDescent="0.35">
      <c r="A377" s="869" t="s">
        <v>2151</v>
      </c>
      <c r="B377" s="872">
        <f>'[1]PLAN DE DESARROLLO 2024 - 2027'!$K$4</f>
        <v>0.29293663727866731</v>
      </c>
      <c r="C377" s="869" t="s">
        <v>2152</v>
      </c>
      <c r="D377" s="872">
        <f>'[1]PLAN DE DESARROLLO 2024 - 2027'!$K$26</f>
        <v>0.26520247826018756</v>
      </c>
      <c r="E377" s="869" t="s">
        <v>1617</v>
      </c>
      <c r="F377" s="872">
        <f>'[1]PLAN DE DESARROLLO 2024 - 2027'!$K$33</f>
        <v>0</v>
      </c>
      <c r="G377" s="869" t="s">
        <v>288</v>
      </c>
      <c r="H377" s="869" t="s">
        <v>289</v>
      </c>
      <c r="I377" s="901">
        <f>+'Seguridad Humana'!Z168</f>
        <v>0.60000000000000009</v>
      </c>
      <c r="J377" s="869" t="s">
        <v>58</v>
      </c>
      <c r="K377" s="873" t="s">
        <v>2004</v>
      </c>
      <c r="P377"/>
    </row>
    <row r="378" spans="1:16" ht="29.4" thickBot="1" x14ac:dyDescent="0.35">
      <c r="A378" s="869" t="s">
        <v>2151</v>
      </c>
      <c r="B378" s="872">
        <f>'[1]PLAN DE DESARROLLO 2024 - 2027'!$K$4</f>
        <v>0.29293663727866731</v>
      </c>
      <c r="C378" s="869" t="s">
        <v>2152</v>
      </c>
      <c r="D378" s="872">
        <f>'[1]PLAN DE DESARROLLO 2024 - 2027'!$K$26</f>
        <v>0.26520247826018756</v>
      </c>
      <c r="E378" s="869" t="s">
        <v>1617</v>
      </c>
      <c r="F378" s="872">
        <f>'[1]PLAN DE DESARROLLO 2024 - 2027'!$K$33</f>
        <v>0</v>
      </c>
      <c r="G378" s="869" t="s">
        <v>290</v>
      </c>
      <c r="H378" s="869" t="s">
        <v>291</v>
      </c>
      <c r="I378" s="901">
        <f>+'Seguridad Humana'!Z169</f>
        <v>0.25</v>
      </c>
      <c r="J378" s="869" t="s">
        <v>58</v>
      </c>
      <c r="K378" s="873" t="s">
        <v>2004</v>
      </c>
      <c r="P378"/>
    </row>
    <row r="379" spans="1:16" ht="29.4" thickBot="1" x14ac:dyDescent="0.35">
      <c r="A379" s="869" t="s">
        <v>2151</v>
      </c>
      <c r="B379" s="872">
        <f>'[1]PLAN DE DESARROLLO 2024 - 2027'!$K$4</f>
        <v>0.29293663727866731</v>
      </c>
      <c r="C379" s="869" t="s">
        <v>2152</v>
      </c>
      <c r="D379" s="872">
        <f>'[1]PLAN DE DESARROLLO 2024 - 2027'!$K$26</f>
        <v>0.26520247826018756</v>
      </c>
      <c r="E379" s="869" t="s">
        <v>1617</v>
      </c>
      <c r="F379" s="872">
        <f>'[1]PLAN DE DESARROLLO 2024 - 2027'!$K$33</f>
        <v>0</v>
      </c>
      <c r="G379" s="869" t="s">
        <v>292</v>
      </c>
      <c r="H379" s="869" t="s">
        <v>293</v>
      </c>
      <c r="I379" s="901">
        <f>+'Seguridad Humana'!Z170</f>
        <v>0.66</v>
      </c>
      <c r="J379" s="869" t="s">
        <v>58</v>
      </c>
      <c r="K379" s="873" t="s">
        <v>2004</v>
      </c>
      <c r="P379"/>
    </row>
    <row r="380" spans="1:16" ht="29.4" thickBot="1" x14ac:dyDescent="0.35">
      <c r="A380" s="869" t="s">
        <v>2151</v>
      </c>
      <c r="B380" s="872">
        <f>'[1]PLAN DE DESARROLLO 2024 - 2027'!$K$4</f>
        <v>0.29293663727866731</v>
      </c>
      <c r="C380" s="869" t="s">
        <v>2153</v>
      </c>
      <c r="D380" s="872">
        <f>'[1]PLAN DE DESARROLLO 2024 - 2027'!$K$34</f>
        <v>0.2143569997651622</v>
      </c>
      <c r="E380" s="869" t="s">
        <v>1621</v>
      </c>
      <c r="F380" s="872">
        <f>'[1]PLAN DE DESARROLLO 2024 - 2027'!$K$38</f>
        <v>0</v>
      </c>
      <c r="G380" s="869" t="s">
        <v>314</v>
      </c>
      <c r="H380" s="869" t="s">
        <v>315</v>
      </c>
      <c r="I380" s="901">
        <f>+'Seguridad Humana'!Z185</f>
        <v>2.5000000000000001E-2</v>
      </c>
      <c r="J380" s="869" t="s">
        <v>297</v>
      </c>
      <c r="K380" s="873" t="s">
        <v>2004</v>
      </c>
      <c r="P380"/>
    </row>
    <row r="381" spans="1:16" ht="29.4" thickBot="1" x14ac:dyDescent="0.35">
      <c r="A381" s="869" t="s">
        <v>2151</v>
      </c>
      <c r="B381" s="872">
        <f>'[1]PLAN DE DESARROLLO 2024 - 2027'!$K$4</f>
        <v>0.29293663727866731</v>
      </c>
      <c r="C381" s="869" t="s">
        <v>2154</v>
      </c>
      <c r="D381" s="872">
        <f>'[1]PLAN DE DESARROLLO 2024 - 2027'!$K$11</f>
        <v>0.31811397569444444</v>
      </c>
      <c r="E381" s="869" t="s">
        <v>1603</v>
      </c>
      <c r="F381" s="872">
        <f>'[1]PLAN DE DESARROLLO 2024 - 2027'!$K$17</f>
        <v>0.24445833333333333</v>
      </c>
      <c r="G381" s="869" t="s">
        <v>101</v>
      </c>
      <c r="H381" s="869" t="s">
        <v>2155</v>
      </c>
      <c r="I381" s="901">
        <f>+'Seguridad Humana'!Z60</f>
        <v>0.5</v>
      </c>
      <c r="J381" s="869" t="s">
        <v>12</v>
      </c>
      <c r="K381" s="873" t="s">
        <v>2004</v>
      </c>
      <c r="P381"/>
    </row>
    <row r="382" spans="1:16" ht="29.4" thickBot="1" x14ac:dyDescent="0.35">
      <c r="A382" s="869" t="s">
        <v>2151</v>
      </c>
      <c r="B382" s="872">
        <f>'[1]PLAN DE DESARROLLO 2024 - 2027'!$K$4</f>
        <v>0.29293663727866731</v>
      </c>
      <c r="C382" s="869" t="s">
        <v>2154</v>
      </c>
      <c r="D382" s="872">
        <f>'[1]PLAN DE DESARROLLO 2024 - 2027'!$K$11</f>
        <v>0.31811397569444444</v>
      </c>
      <c r="E382" s="869" t="s">
        <v>1603</v>
      </c>
      <c r="F382" s="872">
        <f>'[1]PLAN DE DESARROLLO 2024 - 2027'!$K$17</f>
        <v>0.24445833333333333</v>
      </c>
      <c r="G382" s="869" t="s">
        <v>103</v>
      </c>
      <c r="H382" s="869" t="s">
        <v>2156</v>
      </c>
      <c r="I382" s="901">
        <f>+'Seguridad Humana'!Z61</f>
        <v>0.5</v>
      </c>
      <c r="J382" s="869" t="s">
        <v>12</v>
      </c>
      <c r="K382" s="873" t="s">
        <v>2004</v>
      </c>
      <c r="P382"/>
    </row>
    <row r="383" spans="1:16" s="897" customFormat="1" ht="43.8" thickBot="1" x14ac:dyDescent="0.35">
      <c r="A383" s="887" t="s">
        <v>2151</v>
      </c>
      <c r="B383" s="895">
        <f>'[1]PLAN DE DESARROLLO 2024 - 2027'!$K$4</f>
        <v>0.29293663727866731</v>
      </c>
      <c r="C383" s="887" t="s">
        <v>2154</v>
      </c>
      <c r="D383" s="895">
        <f>'[1]PLAN DE DESARROLLO 2024 - 2027'!$K$11</f>
        <v>0.31811397569444444</v>
      </c>
      <c r="E383" s="887" t="s">
        <v>1603</v>
      </c>
      <c r="F383" s="895">
        <f>'[1]PLAN DE DESARROLLO 2024 - 2027'!$K$17</f>
        <v>0.24445833333333333</v>
      </c>
      <c r="G383" s="887" t="s">
        <v>105</v>
      </c>
      <c r="H383" s="887" t="s">
        <v>106</v>
      </c>
      <c r="I383" s="904">
        <f>+'Seguridad Humana'!Z62</f>
        <v>0.5</v>
      </c>
      <c r="J383" s="887" t="s">
        <v>12</v>
      </c>
      <c r="K383" s="896" t="s">
        <v>2004</v>
      </c>
    </row>
    <row r="384" spans="1:16" s="897" customFormat="1" ht="29.4" thickBot="1" x14ac:dyDescent="0.35">
      <c r="A384" s="887" t="s">
        <v>2151</v>
      </c>
      <c r="B384" s="895">
        <f>'[1]PLAN DE DESARROLLO 2024 - 2027'!$K$4</f>
        <v>0.29293663727866731</v>
      </c>
      <c r="C384" s="887" t="s">
        <v>2154</v>
      </c>
      <c r="D384" s="895">
        <f>'[1]PLAN DE DESARROLLO 2024 - 2027'!$K$11</f>
        <v>0.31811397569444444</v>
      </c>
      <c r="E384" s="887" t="s">
        <v>1603</v>
      </c>
      <c r="F384" s="895">
        <f>'[1]PLAN DE DESARROLLO 2024 - 2027'!$K$17</f>
        <v>0.24445833333333333</v>
      </c>
      <c r="G384" s="887" t="s">
        <v>107</v>
      </c>
      <c r="H384" s="887" t="s">
        <v>108</v>
      </c>
      <c r="I384" s="902">
        <f>+'Seguridad Humana'!Z63</f>
        <v>0</v>
      </c>
      <c r="J384" s="887" t="s">
        <v>12</v>
      </c>
      <c r="K384" s="896" t="s">
        <v>2004</v>
      </c>
    </row>
    <row r="385" spans="1:16" s="897" customFormat="1" ht="29.4" thickBot="1" x14ac:dyDescent="0.35">
      <c r="A385" s="887" t="s">
        <v>2151</v>
      </c>
      <c r="B385" s="895">
        <f>'[1]PLAN DE DESARROLLO 2024 - 2027'!$K$4</f>
        <v>0.29293663727866731</v>
      </c>
      <c r="C385" s="887" t="s">
        <v>2154</v>
      </c>
      <c r="D385" s="895">
        <f>'[1]PLAN DE DESARROLLO 2024 - 2027'!$K$11</f>
        <v>0.31811397569444444</v>
      </c>
      <c r="E385" s="887" t="s">
        <v>1603</v>
      </c>
      <c r="F385" s="895">
        <f>'[1]PLAN DE DESARROLLO 2024 - 2027'!$K$17</f>
        <v>0.24445833333333333</v>
      </c>
      <c r="G385" s="887" t="s">
        <v>109</v>
      </c>
      <c r="H385" s="887" t="s">
        <v>110</v>
      </c>
      <c r="I385" s="902">
        <f>+'Seguridad Humana'!Z64</f>
        <v>0</v>
      </c>
      <c r="J385" s="887" t="s">
        <v>12</v>
      </c>
      <c r="K385" s="896" t="s">
        <v>2004</v>
      </c>
    </row>
    <row r="386" spans="1:16" s="897" customFormat="1" ht="29.4" thickBot="1" x14ac:dyDescent="0.35">
      <c r="A386" s="887" t="s">
        <v>2151</v>
      </c>
      <c r="B386" s="895">
        <f>'[1]PLAN DE DESARROLLO 2024 - 2027'!$K$4</f>
        <v>0.29293663727866731</v>
      </c>
      <c r="C386" s="887" t="s">
        <v>2154</v>
      </c>
      <c r="D386" s="895">
        <f>'[1]PLAN DE DESARROLLO 2024 - 2027'!$K$11</f>
        <v>0.31811397569444444</v>
      </c>
      <c r="E386" s="887" t="s">
        <v>1603</v>
      </c>
      <c r="F386" s="895">
        <f>'[1]PLAN DE DESARROLLO 2024 - 2027'!$K$17</f>
        <v>0.24445833333333333</v>
      </c>
      <c r="G386" s="887" t="s">
        <v>111</v>
      </c>
      <c r="H386" s="887" t="s">
        <v>112</v>
      </c>
      <c r="I386" s="902">
        <f>+'Seguridad Humana'!Z65</f>
        <v>0</v>
      </c>
      <c r="J386" s="887" t="s">
        <v>12</v>
      </c>
      <c r="K386" s="896" t="s">
        <v>2004</v>
      </c>
    </row>
    <row r="387" spans="1:16" s="897" customFormat="1" ht="43.8" thickBot="1" x14ac:dyDescent="0.35">
      <c r="A387" s="887" t="s">
        <v>2151</v>
      </c>
      <c r="B387" s="895">
        <f>'[1]PLAN DE DESARROLLO 2024 - 2027'!$K$4</f>
        <v>0.29293663727866731</v>
      </c>
      <c r="C387" s="887" t="s">
        <v>2154</v>
      </c>
      <c r="D387" s="895">
        <f>'[1]PLAN DE DESARROLLO 2024 - 2027'!$K$11</f>
        <v>0.31811397569444444</v>
      </c>
      <c r="E387" s="887" t="s">
        <v>1603</v>
      </c>
      <c r="F387" s="895">
        <f>'[1]PLAN DE DESARROLLO 2024 - 2027'!$K$17</f>
        <v>0.24445833333333333</v>
      </c>
      <c r="G387" s="887" t="s">
        <v>113</v>
      </c>
      <c r="H387" s="887" t="s">
        <v>114</v>
      </c>
      <c r="I387" s="904">
        <f>+'Seguridad Humana'!Z66</f>
        <v>0.49875000000000003</v>
      </c>
      <c r="J387" s="887" t="s">
        <v>12</v>
      </c>
      <c r="K387" s="896" t="s">
        <v>2004</v>
      </c>
    </row>
    <row r="388" spans="1:16" s="897" customFormat="1" ht="29.4" thickBot="1" x14ac:dyDescent="0.35">
      <c r="A388" s="887" t="s">
        <v>2151</v>
      </c>
      <c r="B388" s="895">
        <f>'[1]PLAN DE DESARROLLO 2024 - 2027'!$K$4</f>
        <v>0.29293663727866731</v>
      </c>
      <c r="C388" s="887" t="s">
        <v>2154</v>
      </c>
      <c r="D388" s="895">
        <f>'[1]PLAN DE DESARROLLO 2024 - 2027'!$K$11</f>
        <v>0.31811397569444444</v>
      </c>
      <c r="E388" s="887" t="s">
        <v>1603</v>
      </c>
      <c r="F388" s="895">
        <f>'[1]PLAN DE DESARROLLO 2024 - 2027'!$K$17</f>
        <v>0.24445833333333333</v>
      </c>
      <c r="G388" s="887" t="s">
        <v>115</v>
      </c>
      <c r="H388" s="887" t="s">
        <v>116</v>
      </c>
      <c r="I388" s="904">
        <f>+'Seguridad Humana'!Z67</f>
        <v>0.49875000000000003</v>
      </c>
      <c r="J388" s="887" t="s">
        <v>12</v>
      </c>
      <c r="K388" s="896" t="s">
        <v>2004</v>
      </c>
    </row>
    <row r="389" spans="1:16" s="897" customFormat="1" ht="29.4" thickBot="1" x14ac:dyDescent="0.35">
      <c r="A389" s="887" t="s">
        <v>2151</v>
      </c>
      <c r="B389" s="895">
        <f>'[1]PLAN DE DESARROLLO 2024 - 2027'!$K$4</f>
        <v>0.29293663727866731</v>
      </c>
      <c r="C389" s="887" t="s">
        <v>2154</v>
      </c>
      <c r="D389" s="895">
        <f>'[1]PLAN DE DESARROLLO 2024 - 2027'!$K$11</f>
        <v>0.31811397569444444</v>
      </c>
      <c r="E389" s="887" t="s">
        <v>1603</v>
      </c>
      <c r="F389" s="895">
        <f>'[1]PLAN DE DESARROLLO 2024 - 2027'!$K$17</f>
        <v>0.24445833333333333</v>
      </c>
      <c r="G389" s="887" t="s">
        <v>117</v>
      </c>
      <c r="H389" s="887" t="s">
        <v>118</v>
      </c>
      <c r="I389" s="904">
        <f>+'Seguridad Humana'!Z68</f>
        <v>0.49875000000000003</v>
      </c>
      <c r="J389" s="887" t="s">
        <v>12</v>
      </c>
      <c r="K389" s="896" t="s">
        <v>2004</v>
      </c>
    </row>
    <row r="390" spans="1:16" s="897" customFormat="1" ht="29.4" thickBot="1" x14ac:dyDescent="0.35">
      <c r="A390" s="887" t="s">
        <v>2151</v>
      </c>
      <c r="B390" s="895">
        <f>'[1]PLAN DE DESARROLLO 2024 - 2027'!$K$4</f>
        <v>0.29293663727866731</v>
      </c>
      <c r="C390" s="887" t="s">
        <v>2154</v>
      </c>
      <c r="D390" s="895">
        <f>'[1]PLAN DE DESARROLLO 2024 - 2027'!$K$11</f>
        <v>0.31811397569444444</v>
      </c>
      <c r="E390" s="887" t="s">
        <v>1603</v>
      </c>
      <c r="F390" s="895">
        <f>'[1]PLAN DE DESARROLLO 2024 - 2027'!$K$17</f>
        <v>0.24445833333333333</v>
      </c>
      <c r="G390" s="887" t="s">
        <v>119</v>
      </c>
      <c r="H390" s="887" t="s">
        <v>120</v>
      </c>
      <c r="I390" s="904">
        <f>+'Seguridad Humana'!Z69</f>
        <v>0.25</v>
      </c>
      <c r="J390" s="887" t="s">
        <v>12</v>
      </c>
      <c r="K390" s="896" t="s">
        <v>2004</v>
      </c>
    </row>
    <row r="391" spans="1:16" s="897" customFormat="1" ht="29.4" thickBot="1" x14ac:dyDescent="0.35">
      <c r="A391" s="887" t="s">
        <v>2151</v>
      </c>
      <c r="B391" s="895">
        <f>'[1]PLAN DE DESARROLLO 2024 - 2027'!$K$4</f>
        <v>0.29293663727866731</v>
      </c>
      <c r="C391" s="887" t="s">
        <v>2154</v>
      </c>
      <c r="D391" s="895">
        <f>'[1]PLAN DE DESARROLLO 2024 - 2027'!$K$11</f>
        <v>0.31811397569444444</v>
      </c>
      <c r="E391" s="887" t="s">
        <v>1603</v>
      </c>
      <c r="F391" s="895">
        <f>'[1]PLAN DE DESARROLLO 2024 - 2027'!$K$17</f>
        <v>0.24445833333333333</v>
      </c>
      <c r="G391" s="887" t="s">
        <v>121</v>
      </c>
      <c r="H391" s="887" t="s">
        <v>122</v>
      </c>
      <c r="I391" s="904">
        <f>+'Seguridad Humana'!Z70</f>
        <v>0.5</v>
      </c>
      <c r="J391" s="887" t="s">
        <v>12</v>
      </c>
      <c r="K391" s="896" t="s">
        <v>2004</v>
      </c>
    </row>
    <row r="392" spans="1:16" s="897" customFormat="1" ht="29.4" thickBot="1" x14ac:dyDescent="0.35">
      <c r="A392" s="887" t="s">
        <v>2151</v>
      </c>
      <c r="B392" s="895">
        <f>'[1]PLAN DE DESARROLLO 2024 - 2027'!$K$4</f>
        <v>0.29293663727866731</v>
      </c>
      <c r="C392" s="887" t="s">
        <v>2154</v>
      </c>
      <c r="D392" s="895">
        <f>'[1]PLAN DE DESARROLLO 2024 - 2027'!$K$11</f>
        <v>0.31811397569444444</v>
      </c>
      <c r="E392" s="887" t="s">
        <v>1603</v>
      </c>
      <c r="F392" s="895">
        <f>'[1]PLAN DE DESARROLLO 2024 - 2027'!$K$17</f>
        <v>0.24445833333333333</v>
      </c>
      <c r="G392" s="887" t="s">
        <v>123</v>
      </c>
      <c r="H392" s="887" t="s">
        <v>124</v>
      </c>
      <c r="I392" s="904">
        <f>+'Seguridad Humana'!Z71</f>
        <v>0.25</v>
      </c>
      <c r="J392" s="887" t="s">
        <v>12</v>
      </c>
      <c r="K392" s="896" t="s">
        <v>2004</v>
      </c>
    </row>
    <row r="393" spans="1:16" s="897" customFormat="1" ht="43.8" thickBot="1" x14ac:dyDescent="0.35">
      <c r="A393" s="887" t="s">
        <v>2151</v>
      </c>
      <c r="B393" s="895">
        <f>'[1]PLAN DE DESARROLLO 2024 - 2027'!$K$4</f>
        <v>0.29293663727866731</v>
      </c>
      <c r="C393" s="887" t="s">
        <v>2154</v>
      </c>
      <c r="D393" s="895">
        <f>'[1]PLAN DE DESARROLLO 2024 - 2027'!$K$11</f>
        <v>0.31811397569444444</v>
      </c>
      <c r="E393" s="887" t="s">
        <v>1603</v>
      </c>
      <c r="F393" s="895">
        <f>'[1]PLAN DE DESARROLLO 2024 - 2027'!$K$17</f>
        <v>0.24445833333333333</v>
      </c>
      <c r="G393" s="887" t="s">
        <v>125</v>
      </c>
      <c r="H393" s="887" t="s">
        <v>126</v>
      </c>
      <c r="I393" s="902">
        <f>+'Seguridad Humana'!Z72</f>
        <v>0</v>
      </c>
      <c r="J393" s="887" t="s">
        <v>12</v>
      </c>
      <c r="K393" s="896" t="s">
        <v>2004</v>
      </c>
    </row>
    <row r="394" spans="1:16" s="897" customFormat="1" ht="43.8" thickBot="1" x14ac:dyDescent="0.35">
      <c r="A394" s="887" t="s">
        <v>2151</v>
      </c>
      <c r="B394" s="895">
        <f>'[1]PLAN DE DESARROLLO 2024 - 2027'!$K$4</f>
        <v>0.29293663727866731</v>
      </c>
      <c r="C394" s="887" t="s">
        <v>2154</v>
      </c>
      <c r="D394" s="895">
        <f>'[1]PLAN DE DESARROLLO 2024 - 2027'!$K$11</f>
        <v>0.31811397569444444</v>
      </c>
      <c r="E394" s="887" t="s">
        <v>1603</v>
      </c>
      <c r="F394" s="895">
        <f>'[1]PLAN DE DESARROLLO 2024 - 2027'!$K$17</f>
        <v>0.24445833333333333</v>
      </c>
      <c r="G394" s="887" t="s">
        <v>127</v>
      </c>
      <c r="H394" s="887" t="s">
        <v>128</v>
      </c>
      <c r="I394" s="904">
        <f>+'Seguridad Humana'!Z73</f>
        <v>0.625</v>
      </c>
      <c r="J394" s="887" t="s">
        <v>12</v>
      </c>
      <c r="K394" s="896" t="s">
        <v>2004</v>
      </c>
    </row>
    <row r="395" spans="1:16" s="897" customFormat="1" ht="29.4" thickBot="1" x14ac:dyDescent="0.35">
      <c r="A395" s="887" t="s">
        <v>2151</v>
      </c>
      <c r="B395" s="895">
        <f>'[1]PLAN DE DESARROLLO 2024 - 2027'!$K$4</f>
        <v>0.29293663727866731</v>
      </c>
      <c r="C395" s="887" t="s">
        <v>2154</v>
      </c>
      <c r="D395" s="895">
        <f>'[1]PLAN DE DESARROLLO 2024 - 2027'!$K$11</f>
        <v>0.31811397569444444</v>
      </c>
      <c r="E395" s="887" t="s">
        <v>1603</v>
      </c>
      <c r="F395" s="895">
        <f>'[1]PLAN DE DESARROLLO 2024 - 2027'!$K$17</f>
        <v>0.24445833333333333</v>
      </c>
      <c r="G395" s="887" t="s">
        <v>129</v>
      </c>
      <c r="H395" s="887" t="s">
        <v>130</v>
      </c>
      <c r="I395" s="902">
        <f>+'Seguridad Humana'!Z74</f>
        <v>0.5</v>
      </c>
      <c r="J395" s="887" t="s">
        <v>12</v>
      </c>
      <c r="K395" s="896" t="s">
        <v>2004</v>
      </c>
    </row>
    <row r="396" spans="1:16" s="897" customFormat="1" ht="29.4" thickBot="1" x14ac:dyDescent="0.35">
      <c r="A396" s="887" t="s">
        <v>2151</v>
      </c>
      <c r="B396" s="895">
        <f>'[1]PLAN DE DESARROLLO 2024 - 2027'!$K$4</f>
        <v>0.29293663727866731</v>
      </c>
      <c r="C396" s="887" t="s">
        <v>2154</v>
      </c>
      <c r="D396" s="895">
        <f>'[1]PLAN DE DESARROLLO 2024 - 2027'!$K$11</f>
        <v>0.31811397569444444</v>
      </c>
      <c r="E396" s="887" t="s">
        <v>1603</v>
      </c>
      <c r="F396" s="895">
        <f>'[1]PLAN DE DESARROLLO 2024 - 2027'!$K$17</f>
        <v>0.24445833333333333</v>
      </c>
      <c r="G396" s="887" t="s">
        <v>131</v>
      </c>
      <c r="H396" s="887" t="s">
        <v>132</v>
      </c>
      <c r="I396" s="902">
        <f>+'Seguridad Humana'!Z75</f>
        <v>0</v>
      </c>
      <c r="J396" s="887" t="s">
        <v>12</v>
      </c>
      <c r="K396" s="896" t="s">
        <v>2004</v>
      </c>
    </row>
    <row r="397" spans="1:16" s="897" customFormat="1" ht="29.4" thickBot="1" x14ac:dyDescent="0.35">
      <c r="A397" s="887" t="s">
        <v>2151</v>
      </c>
      <c r="B397" s="895">
        <f>'[1]PLAN DE DESARROLLO 2024 - 2027'!$K$4</f>
        <v>0.29293663727866731</v>
      </c>
      <c r="C397" s="887" t="s">
        <v>2154</v>
      </c>
      <c r="D397" s="895">
        <f>'[1]PLAN DE DESARROLLO 2024 - 2027'!$K$11</f>
        <v>0.31811397569444444</v>
      </c>
      <c r="E397" s="887" t="s">
        <v>1603</v>
      </c>
      <c r="F397" s="895">
        <f>'[1]PLAN DE DESARROLLO 2024 - 2027'!$K$17</f>
        <v>0.24445833333333333</v>
      </c>
      <c r="G397" s="887" t="s">
        <v>133</v>
      </c>
      <c r="H397" s="887" t="s">
        <v>134</v>
      </c>
      <c r="I397" s="902">
        <f>+'Seguridad Humana'!Z76</f>
        <v>0</v>
      </c>
      <c r="J397" s="887" t="s">
        <v>12</v>
      </c>
      <c r="K397" s="896" t="s">
        <v>2004</v>
      </c>
    </row>
    <row r="398" spans="1:16" ht="29.4" thickBot="1" x14ac:dyDescent="0.35">
      <c r="A398" s="869" t="s">
        <v>2151</v>
      </c>
      <c r="B398" s="872">
        <f>'[1]PLAN DE DESARROLLO 2024 - 2027'!$K$4</f>
        <v>0.29293663727866731</v>
      </c>
      <c r="C398" s="869" t="s">
        <v>2154</v>
      </c>
      <c r="D398" s="872">
        <f>'[1]PLAN DE DESARROLLO 2024 - 2027'!$K$11</f>
        <v>0.31811397569444444</v>
      </c>
      <c r="E398" s="869" t="s">
        <v>1604</v>
      </c>
      <c r="F398" s="872">
        <f>'[1]PLAN DE DESARROLLO 2024 - 2027'!$K$18</f>
        <v>0.31953124999999999</v>
      </c>
      <c r="G398" s="869" t="s">
        <v>135</v>
      </c>
      <c r="H398" s="869" t="s">
        <v>136</v>
      </c>
      <c r="I398" s="901">
        <f>+'Seguridad Humana'!Z78</f>
        <v>0.5</v>
      </c>
      <c r="J398" s="869" t="s">
        <v>12</v>
      </c>
      <c r="K398" s="873" t="s">
        <v>2004</v>
      </c>
      <c r="P398"/>
    </row>
    <row r="399" spans="1:16" ht="29.4" thickBot="1" x14ac:dyDescent="0.35">
      <c r="A399" s="869" t="s">
        <v>2151</v>
      </c>
      <c r="B399" s="872">
        <f>'[1]PLAN DE DESARROLLO 2024 - 2027'!$K$4</f>
        <v>0.29293663727866731</v>
      </c>
      <c r="C399" s="869" t="s">
        <v>2154</v>
      </c>
      <c r="D399" s="872">
        <f>'[1]PLAN DE DESARROLLO 2024 - 2027'!$K$11</f>
        <v>0.31811397569444444</v>
      </c>
      <c r="E399" s="869" t="s">
        <v>1604</v>
      </c>
      <c r="F399" s="872">
        <f>'[1]PLAN DE DESARROLLO 2024 - 2027'!$K$18</f>
        <v>0.31953124999999999</v>
      </c>
      <c r="G399" s="869" t="s">
        <v>137</v>
      </c>
      <c r="H399" s="869" t="s">
        <v>138</v>
      </c>
      <c r="I399" s="901">
        <f>+'Seguridad Humana'!Z79</f>
        <v>0.4995</v>
      </c>
      <c r="J399" s="869" t="s">
        <v>12</v>
      </c>
      <c r="K399" s="873" t="s">
        <v>2004</v>
      </c>
      <c r="P399"/>
    </row>
    <row r="400" spans="1:16" ht="29.4" thickBot="1" x14ac:dyDescent="0.35">
      <c r="A400" s="869" t="s">
        <v>2151</v>
      </c>
      <c r="B400" s="872">
        <f>'[1]PLAN DE DESARROLLO 2024 - 2027'!$K$4</f>
        <v>0.29293663727866731</v>
      </c>
      <c r="C400" s="869" t="s">
        <v>2154</v>
      </c>
      <c r="D400" s="872">
        <f>'[1]PLAN DE DESARROLLO 2024 - 2027'!$K$11</f>
        <v>0.31811397569444444</v>
      </c>
      <c r="E400" s="869" t="s">
        <v>1604</v>
      </c>
      <c r="F400" s="872">
        <f>'[1]PLAN DE DESARROLLO 2024 - 2027'!$K$18</f>
        <v>0.31953124999999999</v>
      </c>
      <c r="G400" s="869" t="s">
        <v>139</v>
      </c>
      <c r="H400" s="869" t="s">
        <v>140</v>
      </c>
      <c r="I400" s="902">
        <f>+'Seguridad Humana'!Z80</f>
        <v>0</v>
      </c>
      <c r="J400" s="869" t="s">
        <v>12</v>
      </c>
      <c r="K400" s="873" t="s">
        <v>2004</v>
      </c>
      <c r="P400"/>
    </row>
    <row r="401" spans="1:16" ht="29.4" thickBot="1" x14ac:dyDescent="0.35">
      <c r="A401" s="869" t="s">
        <v>2151</v>
      </c>
      <c r="B401" s="872">
        <f>'[1]PLAN DE DESARROLLO 2024 - 2027'!$K$4</f>
        <v>0.29293663727866731</v>
      </c>
      <c r="C401" s="869" t="s">
        <v>2154</v>
      </c>
      <c r="D401" s="872">
        <f>'[1]PLAN DE DESARROLLO 2024 - 2027'!$K$11</f>
        <v>0.31811397569444444</v>
      </c>
      <c r="E401" s="869" t="s">
        <v>1604</v>
      </c>
      <c r="F401" s="872">
        <f>'[1]PLAN DE DESARROLLO 2024 - 2027'!$K$18</f>
        <v>0.31953124999999999</v>
      </c>
      <c r="G401" s="869" t="s">
        <v>141</v>
      </c>
      <c r="H401" s="869" t="s">
        <v>142</v>
      </c>
      <c r="I401" s="902">
        <f>+'Seguridad Humana'!Z81</f>
        <v>1</v>
      </c>
      <c r="J401" s="869" t="s">
        <v>12</v>
      </c>
      <c r="K401" s="873" t="s">
        <v>2004</v>
      </c>
      <c r="P401"/>
    </row>
    <row r="402" spans="1:16" ht="43.8" thickBot="1" x14ac:dyDescent="0.35">
      <c r="A402" s="869" t="s">
        <v>2151</v>
      </c>
      <c r="B402" s="872">
        <f>'[1]PLAN DE DESARROLLO 2024 - 2027'!$K$4</f>
        <v>0.29293663727866731</v>
      </c>
      <c r="C402" s="869" t="s">
        <v>2154</v>
      </c>
      <c r="D402" s="872">
        <f>'[1]PLAN DE DESARROLLO 2024 - 2027'!$K$11</f>
        <v>0.31811397569444444</v>
      </c>
      <c r="E402" s="869" t="s">
        <v>1604</v>
      </c>
      <c r="F402" s="872">
        <f>'[1]PLAN DE DESARROLLO 2024 - 2027'!$K$18</f>
        <v>0.31953124999999999</v>
      </c>
      <c r="G402" s="869" t="s">
        <v>143</v>
      </c>
      <c r="H402" s="869" t="s">
        <v>144</v>
      </c>
      <c r="I402" s="901">
        <f>+'Seguridad Humana'!Z82</f>
        <v>0.5</v>
      </c>
      <c r="J402" s="869" t="s">
        <v>12</v>
      </c>
      <c r="K402" s="873" t="s">
        <v>2004</v>
      </c>
      <c r="P402"/>
    </row>
    <row r="403" spans="1:16" ht="29.4" thickBot="1" x14ac:dyDescent="0.35">
      <c r="A403" s="869" t="s">
        <v>2151</v>
      </c>
      <c r="B403" s="872">
        <f>'[1]PLAN DE DESARROLLO 2024 - 2027'!$K$4</f>
        <v>0.29293663727866731</v>
      </c>
      <c r="C403" s="869" t="s">
        <v>2154</v>
      </c>
      <c r="D403" s="872">
        <f>'[1]PLAN DE DESARROLLO 2024 - 2027'!$K$11</f>
        <v>0.31811397569444444</v>
      </c>
      <c r="E403" s="869" t="s">
        <v>1604</v>
      </c>
      <c r="F403" s="872">
        <f>'[1]PLAN DE DESARROLLO 2024 - 2027'!$K$18</f>
        <v>0.31953124999999999</v>
      </c>
      <c r="G403" s="869" t="s">
        <v>145</v>
      </c>
      <c r="H403" s="869" t="s">
        <v>146</v>
      </c>
      <c r="I403" s="901">
        <f>+'Seguridad Humana'!Z83</f>
        <v>0.49875000000000003</v>
      </c>
      <c r="J403" s="869" t="s">
        <v>12</v>
      </c>
      <c r="K403" s="873" t="s">
        <v>2004</v>
      </c>
      <c r="P403"/>
    </row>
    <row r="404" spans="1:16" ht="29.4" thickBot="1" x14ac:dyDescent="0.35">
      <c r="A404" s="869" t="s">
        <v>2151</v>
      </c>
      <c r="B404" s="872">
        <f>'[1]PLAN DE DESARROLLO 2024 - 2027'!$K$4</f>
        <v>0.29293663727866731</v>
      </c>
      <c r="C404" s="869" t="s">
        <v>2154</v>
      </c>
      <c r="D404" s="872">
        <f>'[1]PLAN DE DESARROLLO 2024 - 2027'!$K$11</f>
        <v>0.31811397569444444</v>
      </c>
      <c r="E404" s="869" t="s">
        <v>1604</v>
      </c>
      <c r="F404" s="872">
        <f>'[1]PLAN DE DESARROLLO 2024 - 2027'!$K$18</f>
        <v>0.31953124999999999</v>
      </c>
      <c r="G404" s="869" t="s">
        <v>147</v>
      </c>
      <c r="H404" s="869" t="s">
        <v>148</v>
      </c>
      <c r="I404" s="901">
        <f>+'Seguridad Humana'!Z84</f>
        <v>0.499</v>
      </c>
      <c r="J404" s="869" t="s">
        <v>12</v>
      </c>
      <c r="K404" s="873" t="s">
        <v>2004</v>
      </c>
      <c r="P404"/>
    </row>
    <row r="405" spans="1:16" ht="43.8" thickBot="1" x14ac:dyDescent="0.35">
      <c r="A405" s="869" t="s">
        <v>2151</v>
      </c>
      <c r="B405" s="872">
        <f>'[1]PLAN DE DESARROLLO 2024 - 2027'!$K$4</f>
        <v>0.29293663727866731</v>
      </c>
      <c r="C405" s="869" t="s">
        <v>2154</v>
      </c>
      <c r="D405" s="872">
        <f>'[1]PLAN DE DESARROLLO 2024 - 2027'!$K$11</f>
        <v>0.31811397569444444</v>
      </c>
      <c r="E405" s="869" t="s">
        <v>1604</v>
      </c>
      <c r="F405" s="872">
        <f>'[1]PLAN DE DESARROLLO 2024 - 2027'!$K$18</f>
        <v>0.31953124999999999</v>
      </c>
      <c r="G405" s="869" t="s">
        <v>149</v>
      </c>
      <c r="H405" s="869" t="s">
        <v>150</v>
      </c>
      <c r="I405" s="902">
        <f>+'Seguridad Humana'!Z85</f>
        <v>0.69767441860465118</v>
      </c>
      <c r="J405" s="869" t="s">
        <v>12</v>
      </c>
      <c r="K405" s="873" t="s">
        <v>2004</v>
      </c>
      <c r="P405"/>
    </row>
    <row r="406" spans="1:16" ht="29.4" thickBot="1" x14ac:dyDescent="0.35">
      <c r="A406" s="869" t="s">
        <v>2151</v>
      </c>
      <c r="B406" s="872">
        <f>'[1]PLAN DE DESARROLLO 2024 - 2027'!$K$4</f>
        <v>0.29293663727866731</v>
      </c>
      <c r="C406" s="869" t="s">
        <v>2154</v>
      </c>
      <c r="D406" s="872">
        <f>'[1]PLAN DE DESARROLLO 2024 - 2027'!$K$11</f>
        <v>0.31811397569444444</v>
      </c>
      <c r="E406" s="869" t="s">
        <v>1604</v>
      </c>
      <c r="F406" s="872">
        <f>'[1]PLAN DE DESARROLLO 2024 - 2027'!$K$18</f>
        <v>0.31953124999999999</v>
      </c>
      <c r="G406" s="869" t="s">
        <v>151</v>
      </c>
      <c r="H406" s="869" t="s">
        <v>152</v>
      </c>
      <c r="I406" s="901">
        <f>+'Seguridad Humana'!Z86</f>
        <v>0.49875000000000003</v>
      </c>
      <c r="J406" s="869" t="s">
        <v>12</v>
      </c>
      <c r="K406" s="873" t="s">
        <v>2004</v>
      </c>
      <c r="P406"/>
    </row>
    <row r="407" spans="1:16" ht="43.8" thickBot="1" x14ac:dyDescent="0.35">
      <c r="A407" s="869" t="s">
        <v>2151</v>
      </c>
      <c r="B407" s="872">
        <f>'[1]PLAN DE DESARROLLO 2024 - 2027'!$K$4</f>
        <v>0.29293663727866731</v>
      </c>
      <c r="C407" s="869" t="s">
        <v>2154</v>
      </c>
      <c r="D407" s="872">
        <f>'[1]PLAN DE DESARROLLO 2024 - 2027'!$K$11</f>
        <v>0.31811397569444444</v>
      </c>
      <c r="E407" s="869" t="s">
        <v>1605</v>
      </c>
      <c r="F407" s="872">
        <f>'[1]PLAN DE DESARROLLO 2024 - 2027'!$K$19</f>
        <v>0.375</v>
      </c>
      <c r="G407" s="869" t="s">
        <v>153</v>
      </c>
      <c r="H407" s="869" t="s">
        <v>154</v>
      </c>
      <c r="I407" s="902">
        <f>+'Seguridad Humana'!Z88</f>
        <v>0</v>
      </c>
      <c r="J407" s="869" t="s">
        <v>12</v>
      </c>
      <c r="K407" s="873" t="s">
        <v>2004</v>
      </c>
      <c r="P407"/>
    </row>
    <row r="408" spans="1:16" ht="29.4" thickBot="1" x14ac:dyDescent="0.35">
      <c r="A408" s="869" t="s">
        <v>2151</v>
      </c>
      <c r="B408" s="872">
        <f>'[1]PLAN DE DESARROLLO 2024 - 2027'!$K$4</f>
        <v>0.29293663727866731</v>
      </c>
      <c r="C408" s="869" t="s">
        <v>2154</v>
      </c>
      <c r="D408" s="872">
        <f>'[1]PLAN DE DESARROLLO 2024 - 2027'!$K$11</f>
        <v>0.31811397569444444</v>
      </c>
      <c r="E408" s="869" t="s">
        <v>1605</v>
      </c>
      <c r="F408" s="872">
        <f>'[1]PLAN DE DESARROLLO 2024 - 2027'!$K$19</f>
        <v>0.375</v>
      </c>
      <c r="G408" s="869" t="s">
        <v>155</v>
      </c>
      <c r="H408" s="869" t="s">
        <v>156</v>
      </c>
      <c r="I408" s="901">
        <f>+'Seguridad Humana'!Z89</f>
        <v>0.5</v>
      </c>
      <c r="J408" s="869" t="s">
        <v>12</v>
      </c>
      <c r="K408" s="873" t="s">
        <v>2004</v>
      </c>
      <c r="P408"/>
    </row>
    <row r="409" spans="1:16" ht="29.4" thickBot="1" x14ac:dyDescent="0.35">
      <c r="A409" s="869" t="s">
        <v>2151</v>
      </c>
      <c r="B409" s="872">
        <f>'[1]PLAN DE DESARROLLO 2024 - 2027'!$K$4</f>
        <v>0.29293663727866731</v>
      </c>
      <c r="C409" s="869" t="s">
        <v>2154</v>
      </c>
      <c r="D409" s="872">
        <f>'[1]PLAN DE DESARROLLO 2024 - 2027'!$K$11</f>
        <v>0.31811397569444444</v>
      </c>
      <c r="E409" s="869" t="s">
        <v>1605</v>
      </c>
      <c r="F409" s="872">
        <f>'[1]PLAN DE DESARROLLO 2024 - 2027'!$K$19</f>
        <v>0.375</v>
      </c>
      <c r="G409" s="869" t="s">
        <v>157</v>
      </c>
      <c r="H409" s="869" t="s">
        <v>158</v>
      </c>
      <c r="I409" s="901">
        <f>+'Seguridad Humana'!Z90</f>
        <v>0.25</v>
      </c>
      <c r="J409" s="869" t="s">
        <v>12</v>
      </c>
      <c r="K409" s="873" t="s">
        <v>2004</v>
      </c>
      <c r="P409"/>
    </row>
    <row r="410" spans="1:16" ht="43.8" thickBot="1" x14ac:dyDescent="0.35">
      <c r="A410" s="869" t="s">
        <v>2151</v>
      </c>
      <c r="B410" s="872">
        <f>'[1]PLAN DE DESARROLLO 2024 - 2027'!$K$4</f>
        <v>0.29293663727866731</v>
      </c>
      <c r="C410" s="869" t="s">
        <v>2157</v>
      </c>
      <c r="D410" s="872">
        <f>'[1]PLAN DE DESARROLLO 2024 - 2027'!$K$20</f>
        <v>0.23527151611744229</v>
      </c>
      <c r="E410" s="869" t="s">
        <v>2158</v>
      </c>
      <c r="F410" s="872">
        <f>'[1]PLAN DE DESARROLLO 2024 - 2027'!$K$21</f>
        <v>0.26717664873866304</v>
      </c>
      <c r="G410" s="869" t="s">
        <v>160</v>
      </c>
      <c r="H410" s="869" t="s">
        <v>161</v>
      </c>
      <c r="I410" s="901">
        <f>+'Seguridad Humana'!Z93</f>
        <v>0.50719698920617162</v>
      </c>
      <c r="J410" s="869" t="s">
        <v>162</v>
      </c>
      <c r="K410" s="873" t="s">
        <v>2004</v>
      </c>
      <c r="P410"/>
    </row>
    <row r="411" spans="1:16" ht="29.4" thickBot="1" x14ac:dyDescent="0.35">
      <c r="A411" s="869" t="s">
        <v>2151</v>
      </c>
      <c r="B411" s="872">
        <f>'[1]PLAN DE DESARROLLO 2024 - 2027'!$K$4</f>
        <v>0.29293663727866731</v>
      </c>
      <c r="C411" s="869" t="s">
        <v>2157</v>
      </c>
      <c r="D411" s="872">
        <f>'[1]PLAN DE DESARROLLO 2024 - 2027'!$K$20</f>
        <v>0.23527151611744229</v>
      </c>
      <c r="E411" s="869" t="s">
        <v>2158</v>
      </c>
      <c r="F411" s="872">
        <f>'[1]PLAN DE DESARROLLO 2024 - 2027'!$K$21</f>
        <v>0.26717664873866304</v>
      </c>
      <c r="G411" s="869" t="s">
        <v>163</v>
      </c>
      <c r="H411" s="869" t="s">
        <v>164</v>
      </c>
      <c r="I411" s="901">
        <f>+'Seguridad Humana'!Z94</f>
        <v>0.56684999999999997</v>
      </c>
      <c r="J411" s="869" t="s">
        <v>162</v>
      </c>
      <c r="K411" s="873" t="s">
        <v>2004</v>
      </c>
      <c r="P411"/>
    </row>
    <row r="412" spans="1:16" ht="29.4" thickBot="1" x14ac:dyDescent="0.35">
      <c r="A412" s="869" t="s">
        <v>2151</v>
      </c>
      <c r="B412" s="872">
        <f>'[1]PLAN DE DESARROLLO 2024 - 2027'!$K$4</f>
        <v>0.29293663727866731</v>
      </c>
      <c r="C412" s="869" t="s">
        <v>2157</v>
      </c>
      <c r="D412" s="872">
        <f>'[1]PLAN DE DESARROLLO 2024 - 2027'!$K$20</f>
        <v>0.23527151611744229</v>
      </c>
      <c r="E412" s="869" t="s">
        <v>2158</v>
      </c>
      <c r="F412" s="872">
        <f>'[1]PLAN DE DESARROLLO 2024 - 2027'!$K$21</f>
        <v>0.26717664873866304</v>
      </c>
      <c r="G412" s="869" t="s">
        <v>165</v>
      </c>
      <c r="H412" s="869" t="s">
        <v>166</v>
      </c>
      <c r="I412" s="901">
        <f>+'Seguridad Humana'!Z95</f>
        <v>0.49990000000000001</v>
      </c>
      <c r="J412" s="869" t="s">
        <v>162</v>
      </c>
      <c r="K412" s="873" t="s">
        <v>2004</v>
      </c>
      <c r="P412"/>
    </row>
    <row r="413" spans="1:16" ht="29.4" thickBot="1" x14ac:dyDescent="0.35">
      <c r="A413" s="869" t="s">
        <v>2151</v>
      </c>
      <c r="B413" s="872">
        <f>'[1]PLAN DE DESARROLLO 2024 - 2027'!$K$4</f>
        <v>0.29293663727866731</v>
      </c>
      <c r="C413" s="869" t="s">
        <v>2157</v>
      </c>
      <c r="D413" s="872">
        <f>'[1]PLAN DE DESARROLLO 2024 - 2027'!$K$20</f>
        <v>0.23527151611744229</v>
      </c>
      <c r="E413" s="869" t="s">
        <v>2158</v>
      </c>
      <c r="F413" s="872">
        <f>'[1]PLAN DE DESARROLLO 2024 - 2027'!$K$21</f>
        <v>0.26717664873866304</v>
      </c>
      <c r="G413" s="869" t="s">
        <v>167</v>
      </c>
      <c r="H413" s="869" t="s">
        <v>168</v>
      </c>
      <c r="I413" s="901">
        <f>+'Seguridad Humana'!Z96</f>
        <v>0.63709677419354838</v>
      </c>
      <c r="J413" s="869" t="s">
        <v>162</v>
      </c>
      <c r="K413" s="873" t="s">
        <v>2004</v>
      </c>
      <c r="P413"/>
    </row>
    <row r="414" spans="1:16" ht="58.2" thickBot="1" x14ac:dyDescent="0.35">
      <c r="A414" s="869" t="s">
        <v>2151</v>
      </c>
      <c r="B414" s="872">
        <f>'[1]PLAN DE DESARROLLO 2024 - 2027'!$K$4</f>
        <v>0.29293663727866731</v>
      </c>
      <c r="C414" s="869" t="s">
        <v>2157</v>
      </c>
      <c r="D414" s="872">
        <f>'[1]PLAN DE DESARROLLO 2024 - 2027'!$K$20</f>
        <v>0.23527151611744229</v>
      </c>
      <c r="E414" s="869" t="s">
        <v>2158</v>
      </c>
      <c r="F414" s="872">
        <f>'[1]PLAN DE DESARROLLO 2024 - 2027'!$K$21</f>
        <v>0.26717664873866304</v>
      </c>
      <c r="G414" s="869" t="s">
        <v>169</v>
      </c>
      <c r="H414" s="869" t="s">
        <v>170</v>
      </c>
      <c r="I414" s="901">
        <f>+'Seguridad Humana'!Z97</f>
        <v>0.51666666666666672</v>
      </c>
      <c r="J414" s="869" t="s">
        <v>162</v>
      </c>
      <c r="K414" s="873" t="s">
        <v>2004</v>
      </c>
      <c r="P414"/>
    </row>
    <row r="415" spans="1:16" ht="49.2" customHeight="1" thickBot="1" x14ac:dyDescent="0.35">
      <c r="A415" s="869" t="s">
        <v>2151</v>
      </c>
      <c r="B415" s="872">
        <f>'[1]PLAN DE DESARROLLO 2024 - 2027'!$K$4</f>
        <v>0.29293663727866731</v>
      </c>
      <c r="C415" s="869" t="s">
        <v>2157</v>
      </c>
      <c r="D415" s="872">
        <f>'[1]PLAN DE DESARROLLO 2024 - 2027'!$K$20</f>
        <v>0.23527151611744229</v>
      </c>
      <c r="E415" s="869" t="s">
        <v>2158</v>
      </c>
      <c r="F415" s="872">
        <f>'[1]PLAN DE DESARROLLO 2024 - 2027'!$K$21</f>
        <v>0.26717664873866304</v>
      </c>
      <c r="G415" s="869" t="s">
        <v>171</v>
      </c>
      <c r="H415" s="869" t="s">
        <v>172</v>
      </c>
      <c r="I415" s="901">
        <f>+'Seguridad Humana'!Z98</f>
        <v>0.1</v>
      </c>
      <c r="J415" s="869" t="s">
        <v>2159</v>
      </c>
      <c r="K415" s="873" t="s">
        <v>2004</v>
      </c>
      <c r="P415"/>
    </row>
    <row r="416" spans="1:16" ht="70.2" customHeight="1" thickBot="1" x14ac:dyDescent="0.35">
      <c r="A416" s="869" t="s">
        <v>2151</v>
      </c>
      <c r="B416" s="872">
        <f>'[1]PLAN DE DESARROLLO 2024 - 2027'!$K$4</f>
        <v>0.29293663727866731</v>
      </c>
      <c r="C416" s="869" t="s">
        <v>2157</v>
      </c>
      <c r="D416" s="872">
        <f>'[1]PLAN DE DESARROLLO 2024 - 2027'!$K$20</f>
        <v>0.23527151611744229</v>
      </c>
      <c r="E416" s="869" t="s">
        <v>2160</v>
      </c>
      <c r="F416" s="872">
        <f>'[1]PLAN DE DESARROLLO 2024 - 2027'!$K$22</f>
        <v>0.21388333333333334</v>
      </c>
      <c r="G416" s="869" t="s">
        <v>174</v>
      </c>
      <c r="H416" s="869" t="s">
        <v>175</v>
      </c>
      <c r="I416" s="901">
        <f>+'Seguridad Humana'!Z100</f>
        <v>0.4874</v>
      </c>
      <c r="J416" s="869" t="s">
        <v>162</v>
      </c>
      <c r="K416" s="873" t="s">
        <v>2004</v>
      </c>
      <c r="P416"/>
    </row>
    <row r="417" spans="1:16" ht="43.8" thickBot="1" x14ac:dyDescent="0.35">
      <c r="A417" s="869" t="s">
        <v>2151</v>
      </c>
      <c r="B417" s="872">
        <f>'[1]PLAN DE DESARROLLO 2024 - 2027'!$K$4</f>
        <v>0.29293663727866731</v>
      </c>
      <c r="C417" s="869" t="s">
        <v>2157</v>
      </c>
      <c r="D417" s="872">
        <f>'[1]PLAN DE DESARROLLO 2024 - 2027'!$K$20</f>
        <v>0.23527151611744229</v>
      </c>
      <c r="E417" s="869" t="s">
        <v>2160</v>
      </c>
      <c r="F417" s="872">
        <f>'[1]PLAN DE DESARROLLO 2024 - 2027'!$K$22</f>
        <v>0.21388333333333334</v>
      </c>
      <c r="G417" s="869" t="s">
        <v>2161</v>
      </c>
      <c r="H417" s="869" t="s">
        <v>177</v>
      </c>
      <c r="I417" s="901">
        <f>+'Seguridad Humana'!Z101</f>
        <v>0.51283333333333336</v>
      </c>
      <c r="J417" s="869" t="s">
        <v>162</v>
      </c>
      <c r="K417" s="873" t="s">
        <v>2004</v>
      </c>
      <c r="P417"/>
    </row>
    <row r="418" spans="1:16" ht="58.2" thickBot="1" x14ac:dyDescent="0.35">
      <c r="A418" s="869" t="s">
        <v>2151</v>
      </c>
      <c r="B418" s="872">
        <f>'[1]PLAN DE DESARROLLO 2024 - 2027'!$K$4</f>
        <v>0.29293663727866731</v>
      </c>
      <c r="C418" s="869" t="s">
        <v>2157</v>
      </c>
      <c r="D418" s="872">
        <f>'[1]PLAN DE DESARROLLO 2024 - 2027'!$K$20</f>
        <v>0.23527151611744229</v>
      </c>
      <c r="E418" s="869" t="s">
        <v>2162</v>
      </c>
      <c r="F418" s="872">
        <f>'[1]PLAN DE DESARROLLO 2024 - 2027'!$K$23</f>
        <v>0.15948275862068967</v>
      </c>
      <c r="G418" s="869" t="s">
        <v>2163</v>
      </c>
      <c r="H418" s="869" t="s">
        <v>179</v>
      </c>
      <c r="I418" s="901">
        <f>+'Seguridad Humana'!Z103</f>
        <v>0.48275862068965519</v>
      </c>
      <c r="J418" s="869" t="s">
        <v>162</v>
      </c>
      <c r="K418" s="873" t="s">
        <v>2004</v>
      </c>
      <c r="P418"/>
    </row>
    <row r="419" spans="1:16" ht="29.4" thickBot="1" x14ac:dyDescent="0.35">
      <c r="A419" s="869" t="s">
        <v>2151</v>
      </c>
      <c r="B419" s="872">
        <f>'[1]PLAN DE DESARROLLO 2024 - 2027'!$K$4</f>
        <v>0.29293663727866731</v>
      </c>
      <c r="C419" s="869" t="s">
        <v>2157</v>
      </c>
      <c r="D419" s="872">
        <f>'[1]PLAN DE DESARROLLO 2024 - 2027'!$K$20</f>
        <v>0.23527151611744229</v>
      </c>
      <c r="E419" s="869" t="s">
        <v>2162</v>
      </c>
      <c r="F419" s="872">
        <f>'[1]PLAN DE DESARROLLO 2024 - 2027'!$K$23</f>
        <v>0.15948275862068967</v>
      </c>
      <c r="G419" s="869" t="s">
        <v>180</v>
      </c>
      <c r="H419" s="869" t="s">
        <v>181</v>
      </c>
      <c r="I419" s="901">
        <f>+'Seguridad Humana'!Z104</f>
        <v>0.25</v>
      </c>
      <c r="J419" s="869" t="s">
        <v>162</v>
      </c>
      <c r="K419" s="873" t="s">
        <v>2004</v>
      </c>
      <c r="P419"/>
    </row>
    <row r="420" spans="1:16" ht="43.8" thickBot="1" x14ac:dyDescent="0.35">
      <c r="A420" s="869" t="s">
        <v>2151</v>
      </c>
      <c r="B420" s="872">
        <f>'[1]PLAN DE DESARROLLO 2024 - 2027'!$K$4</f>
        <v>0.29293663727866731</v>
      </c>
      <c r="C420" s="869" t="s">
        <v>2157</v>
      </c>
      <c r="D420" s="872">
        <f>'[1]PLAN DE DESARROLLO 2024 - 2027'!$K$20</f>
        <v>0.23527151611744229</v>
      </c>
      <c r="E420" s="869" t="s">
        <v>1629</v>
      </c>
      <c r="F420" s="872">
        <f>'[1]PLAN DE DESARROLLO 2024 - 2027'!$K$24</f>
        <v>0.26081483989452564</v>
      </c>
      <c r="G420" s="869" t="s">
        <v>182</v>
      </c>
      <c r="H420" s="869" t="s">
        <v>183</v>
      </c>
      <c r="I420" s="901">
        <f>+'Seguridad Humana'!Z106</f>
        <v>0.5</v>
      </c>
      <c r="J420" s="869" t="s">
        <v>162</v>
      </c>
      <c r="K420" s="873" t="s">
        <v>2004</v>
      </c>
      <c r="P420"/>
    </row>
    <row r="421" spans="1:16" ht="29.4" thickBot="1" x14ac:dyDescent="0.35">
      <c r="A421" s="869" t="s">
        <v>2151</v>
      </c>
      <c r="B421" s="872">
        <f>'[1]PLAN DE DESARROLLO 2024 - 2027'!$K$4</f>
        <v>0.29293663727866731</v>
      </c>
      <c r="C421" s="869" t="s">
        <v>2157</v>
      </c>
      <c r="D421" s="872">
        <f>'[1]PLAN DE DESARROLLO 2024 - 2027'!$K$20</f>
        <v>0.23527151611744229</v>
      </c>
      <c r="E421" s="869" t="s">
        <v>1629</v>
      </c>
      <c r="F421" s="872">
        <f>'[1]PLAN DE DESARROLLO 2024 - 2027'!$K$24</f>
        <v>0.26081483989452564</v>
      </c>
      <c r="G421" s="869" t="s">
        <v>184</v>
      </c>
      <c r="H421" s="869" t="s">
        <v>185</v>
      </c>
      <c r="I421" s="901">
        <f>+'Seguridad Humana'!Z107</f>
        <v>0.5</v>
      </c>
      <c r="J421" s="869" t="s">
        <v>162</v>
      </c>
      <c r="K421" s="873" t="s">
        <v>2004</v>
      </c>
      <c r="P421"/>
    </row>
    <row r="422" spans="1:16" ht="43.8" thickBot="1" x14ac:dyDescent="0.35">
      <c r="A422" s="869" t="s">
        <v>2151</v>
      </c>
      <c r="B422" s="872">
        <f>'[1]PLAN DE DESARROLLO 2024 - 2027'!$K$4</f>
        <v>0.29293663727866731</v>
      </c>
      <c r="C422" s="869" t="s">
        <v>2157</v>
      </c>
      <c r="D422" s="872">
        <f>'[1]PLAN DE DESARROLLO 2024 - 2027'!$K$20</f>
        <v>0.23527151611744229</v>
      </c>
      <c r="E422" s="869" t="s">
        <v>1629</v>
      </c>
      <c r="F422" s="872">
        <f>'[1]PLAN DE DESARROLLO 2024 - 2027'!$K$24</f>
        <v>0.26081483989452564</v>
      </c>
      <c r="G422" s="869" t="s">
        <v>186</v>
      </c>
      <c r="H422" s="869" t="s">
        <v>187</v>
      </c>
      <c r="I422" s="901">
        <f>+'Seguridad Humana'!Z108</f>
        <v>0.51107142857142862</v>
      </c>
      <c r="J422" s="869" t="s">
        <v>162</v>
      </c>
      <c r="K422" s="873" t="s">
        <v>2004</v>
      </c>
      <c r="P422"/>
    </row>
    <row r="423" spans="1:16" ht="43.8" thickBot="1" x14ac:dyDescent="0.35">
      <c r="A423" s="869" t="s">
        <v>2151</v>
      </c>
      <c r="B423" s="872">
        <f>'[1]PLAN DE DESARROLLO 2024 - 2027'!$K$4</f>
        <v>0.29293663727866731</v>
      </c>
      <c r="C423" s="869" t="s">
        <v>2157</v>
      </c>
      <c r="D423" s="872">
        <f>'[1]PLAN DE DESARROLLO 2024 - 2027'!$K$20</f>
        <v>0.23527151611744229</v>
      </c>
      <c r="E423" s="869" t="s">
        <v>1629</v>
      </c>
      <c r="F423" s="872">
        <f>'[1]PLAN DE DESARROLLO 2024 - 2027'!$K$24</f>
        <v>0.26081483989452564</v>
      </c>
      <c r="G423" s="869" t="s">
        <v>188</v>
      </c>
      <c r="H423" s="869" t="s">
        <v>189</v>
      </c>
      <c r="I423" s="901">
        <f>+'Seguridad Humana'!Z109</f>
        <v>0.70309210526315791</v>
      </c>
      <c r="J423" s="869" t="s">
        <v>162</v>
      </c>
      <c r="K423" s="873" t="s">
        <v>2004</v>
      </c>
      <c r="P423"/>
    </row>
    <row r="424" spans="1:16" ht="29.4" thickBot="1" x14ac:dyDescent="0.35">
      <c r="A424" s="869" t="s">
        <v>2151</v>
      </c>
      <c r="B424" s="872">
        <f>'[1]PLAN DE DESARROLLO 2024 - 2027'!$K$4</f>
        <v>0.29293663727866731</v>
      </c>
      <c r="C424" s="869" t="s">
        <v>2157</v>
      </c>
      <c r="D424" s="872">
        <f>'[1]PLAN DE DESARROLLO 2024 - 2027'!$K$20</f>
        <v>0.23527151611744229</v>
      </c>
      <c r="E424" s="869" t="s">
        <v>1629</v>
      </c>
      <c r="F424" s="872">
        <f>'[1]PLAN DE DESARROLLO 2024 - 2027'!$K$24</f>
        <v>0.26081483989452564</v>
      </c>
      <c r="G424" s="869" t="s">
        <v>2164</v>
      </c>
      <c r="H424" s="869" t="s">
        <v>191</v>
      </c>
      <c r="I424" s="901">
        <f>+'Seguridad Humana'!Z110</f>
        <v>0.31790833333333335</v>
      </c>
      <c r="J424" s="869" t="s">
        <v>162</v>
      </c>
      <c r="K424" s="873" t="s">
        <v>2004</v>
      </c>
      <c r="P424"/>
    </row>
    <row r="425" spans="1:16" ht="43.8" thickBot="1" x14ac:dyDescent="0.35">
      <c r="A425" s="869" t="s">
        <v>2151</v>
      </c>
      <c r="B425" s="872">
        <f>'[1]PLAN DE DESARROLLO 2024 - 2027'!$K$4</f>
        <v>0.29293663727866731</v>
      </c>
      <c r="C425" s="869" t="s">
        <v>2157</v>
      </c>
      <c r="D425" s="872">
        <f>'[1]PLAN DE DESARROLLO 2024 - 2027'!$K$20</f>
        <v>0.23527151611744229</v>
      </c>
      <c r="E425" s="869" t="s">
        <v>1629</v>
      </c>
      <c r="F425" s="872">
        <f>'[1]PLAN DE DESARROLLO 2024 - 2027'!$K$24</f>
        <v>0.26081483989452564</v>
      </c>
      <c r="G425" s="869" t="s">
        <v>192</v>
      </c>
      <c r="H425" s="869" t="s">
        <v>193</v>
      </c>
      <c r="I425" s="901">
        <f>+'Seguridad Humana'!Z111</f>
        <v>0.47058823529411764</v>
      </c>
      <c r="J425" s="869" t="s">
        <v>162</v>
      </c>
      <c r="K425" s="873" t="s">
        <v>2004</v>
      </c>
      <c r="P425"/>
    </row>
    <row r="426" spans="1:16" ht="58.2" thickBot="1" x14ac:dyDescent="0.35">
      <c r="A426" s="869" t="s">
        <v>2151</v>
      </c>
      <c r="B426" s="872">
        <f>'[1]PLAN DE DESARROLLO 2024 - 2027'!$K$4</f>
        <v>0.29293663727866731</v>
      </c>
      <c r="C426" s="869" t="s">
        <v>2157</v>
      </c>
      <c r="D426" s="872">
        <f>'[1]PLAN DE DESARROLLO 2024 - 2027'!$K$20</f>
        <v>0.23527151611744229</v>
      </c>
      <c r="E426" s="869" t="s">
        <v>1629</v>
      </c>
      <c r="F426" s="872">
        <f>'[1]PLAN DE DESARROLLO 2024 - 2027'!$K$24</f>
        <v>0.26081483989452564</v>
      </c>
      <c r="G426" s="869" t="s">
        <v>194</v>
      </c>
      <c r="H426" s="869" t="s">
        <v>195</v>
      </c>
      <c r="I426" s="901">
        <f>+'Seguridad Humana'!Z112</f>
        <v>0.5</v>
      </c>
      <c r="J426" s="869" t="s">
        <v>162</v>
      </c>
      <c r="K426" s="873" t="s">
        <v>2004</v>
      </c>
      <c r="P426"/>
    </row>
    <row r="427" spans="1:16" ht="43.8" thickBot="1" x14ac:dyDescent="0.35">
      <c r="A427" s="869" t="s">
        <v>2151</v>
      </c>
      <c r="B427" s="872">
        <f>'[1]PLAN DE DESARROLLO 2024 - 2027'!$K$4</f>
        <v>0.29293663727866731</v>
      </c>
      <c r="C427" s="869" t="s">
        <v>2157</v>
      </c>
      <c r="D427" s="872">
        <f>'[1]PLAN DE DESARROLLO 2024 - 2027'!$K$20</f>
        <v>0.23527151611744229</v>
      </c>
      <c r="E427" s="869" t="s">
        <v>1629</v>
      </c>
      <c r="F427" s="872">
        <f>'[1]PLAN DE DESARROLLO 2024 - 2027'!$K$24</f>
        <v>0.26081483989452564</v>
      </c>
      <c r="G427" s="869" t="s">
        <v>196</v>
      </c>
      <c r="H427" s="869" t="s">
        <v>197</v>
      </c>
      <c r="I427" s="901">
        <f>+'Seguridad Humana'!Z113</f>
        <v>0.41176470588235292</v>
      </c>
      <c r="J427" s="869" t="s">
        <v>162</v>
      </c>
      <c r="K427" s="873" t="s">
        <v>2004</v>
      </c>
      <c r="P427"/>
    </row>
    <row r="428" spans="1:16" ht="58.2" thickBot="1" x14ac:dyDescent="0.35">
      <c r="A428" s="869" t="s">
        <v>2151</v>
      </c>
      <c r="B428" s="872">
        <f>'[1]PLAN DE DESARROLLO 2024 - 2027'!$K$4</f>
        <v>0.29293663727866731</v>
      </c>
      <c r="C428" s="869" t="s">
        <v>2157</v>
      </c>
      <c r="D428" s="872">
        <f>'[1]PLAN DE DESARROLLO 2024 - 2027'!$K$20</f>
        <v>0.23527151611744229</v>
      </c>
      <c r="E428" s="869" t="s">
        <v>1629</v>
      </c>
      <c r="F428" s="872">
        <f>'[1]PLAN DE DESARROLLO 2024 - 2027'!$K$24</f>
        <v>0.26081483989452564</v>
      </c>
      <c r="G428" s="869" t="s">
        <v>198</v>
      </c>
      <c r="H428" s="869" t="s">
        <v>199</v>
      </c>
      <c r="I428" s="901">
        <f>+'Seguridad Humana'!Z114</f>
        <v>0.8125</v>
      </c>
      <c r="J428" s="869" t="s">
        <v>162</v>
      </c>
      <c r="K428" s="873" t="s">
        <v>2004</v>
      </c>
      <c r="P428"/>
    </row>
    <row r="429" spans="1:16" ht="29.4" thickBot="1" x14ac:dyDescent="0.35">
      <c r="A429" s="869" t="s">
        <v>2151</v>
      </c>
      <c r="B429" s="872">
        <f>'[1]PLAN DE DESARROLLO 2024 - 2027'!$K$4</f>
        <v>0.29293663727866731</v>
      </c>
      <c r="C429" s="869" t="s">
        <v>2157</v>
      </c>
      <c r="D429" s="872">
        <f>'[1]PLAN DE DESARROLLO 2024 - 2027'!$K$20</f>
        <v>0.23527151611744229</v>
      </c>
      <c r="E429" s="869" t="s">
        <v>1629</v>
      </c>
      <c r="F429" s="872">
        <f>'[1]PLAN DE DESARROLLO 2024 - 2027'!$K$24</f>
        <v>0.26081483989452564</v>
      </c>
      <c r="G429" s="869" t="s">
        <v>200</v>
      </c>
      <c r="H429" s="869" t="s">
        <v>201</v>
      </c>
      <c r="I429" s="901">
        <f>+'Seguridad Humana'!Z115</f>
        <v>0.5</v>
      </c>
      <c r="J429" s="869" t="s">
        <v>162</v>
      </c>
      <c r="K429" s="873" t="s">
        <v>2004</v>
      </c>
      <c r="P429"/>
    </row>
    <row r="430" spans="1:16" ht="43.8" thickBot="1" x14ac:dyDescent="0.35">
      <c r="A430" s="869" t="s">
        <v>2151</v>
      </c>
      <c r="B430" s="872">
        <f>'[1]PLAN DE DESARROLLO 2024 - 2027'!$K$4</f>
        <v>0.29293663727866731</v>
      </c>
      <c r="C430" s="869" t="s">
        <v>2157</v>
      </c>
      <c r="D430" s="872">
        <f>'[1]PLAN DE DESARROLLO 2024 - 2027'!$K$20</f>
        <v>0.23527151611744229</v>
      </c>
      <c r="E430" s="869" t="s">
        <v>1629</v>
      </c>
      <c r="F430" s="872">
        <f>'[1]PLAN DE DESARROLLO 2024 - 2027'!$K$24</f>
        <v>0.26081483989452564</v>
      </c>
      <c r="G430" s="869" t="s">
        <v>202</v>
      </c>
      <c r="H430" s="869" t="s">
        <v>203</v>
      </c>
      <c r="I430" s="901">
        <f>+'Seguridad Humana'!Z116</f>
        <v>0.49736842105263157</v>
      </c>
      <c r="J430" s="869" t="s">
        <v>162</v>
      </c>
      <c r="K430" s="873" t="s">
        <v>2004</v>
      </c>
      <c r="P430"/>
    </row>
    <row r="431" spans="1:16" ht="58.2" thickBot="1" x14ac:dyDescent="0.35">
      <c r="A431" s="869" t="s">
        <v>2151</v>
      </c>
      <c r="B431" s="872">
        <f>'[1]PLAN DE DESARROLLO 2024 - 2027'!$K$4</f>
        <v>0.29293663727866731</v>
      </c>
      <c r="C431" s="869" t="s">
        <v>2157</v>
      </c>
      <c r="D431" s="872">
        <f>'[1]PLAN DE DESARROLLO 2024 - 2027'!$K$20</f>
        <v>0.23527151611744229</v>
      </c>
      <c r="E431" s="869" t="s">
        <v>1629</v>
      </c>
      <c r="F431" s="872">
        <f>'[1]PLAN DE DESARROLLO 2024 - 2027'!$K$24</f>
        <v>0.26081483989452564</v>
      </c>
      <c r="G431" s="869" t="s">
        <v>204</v>
      </c>
      <c r="H431" s="869" t="s">
        <v>205</v>
      </c>
      <c r="I431" s="901">
        <f>+'Seguridad Humana'!Z117</f>
        <v>0.49962962962962965</v>
      </c>
      <c r="J431" s="869" t="s">
        <v>162</v>
      </c>
      <c r="K431" s="873" t="s">
        <v>2004</v>
      </c>
      <c r="P431"/>
    </row>
    <row r="432" spans="1:16" ht="43.8" thickBot="1" x14ac:dyDescent="0.35">
      <c r="A432" s="869" t="s">
        <v>2151</v>
      </c>
      <c r="B432" s="872">
        <f>'[1]PLAN DE DESARROLLO 2024 - 2027'!$K$4</f>
        <v>0.29293663727866731</v>
      </c>
      <c r="C432" s="869" t="s">
        <v>2157</v>
      </c>
      <c r="D432" s="872">
        <f>'[1]PLAN DE DESARROLLO 2024 - 2027'!$K$20</f>
        <v>0.23527151611744229</v>
      </c>
      <c r="E432" s="869" t="s">
        <v>1629</v>
      </c>
      <c r="F432" s="872">
        <f>'[1]PLAN DE DESARROLLO 2024 - 2027'!$K$24</f>
        <v>0.26081483989452564</v>
      </c>
      <c r="G432" s="869" t="s">
        <v>206</v>
      </c>
      <c r="H432" s="869" t="s">
        <v>207</v>
      </c>
      <c r="I432" s="901">
        <f>+'Seguridad Humana'!Z118</f>
        <v>0.39160921870775883</v>
      </c>
      <c r="J432" s="869" t="s">
        <v>162</v>
      </c>
      <c r="K432" s="873" t="s">
        <v>2004</v>
      </c>
      <c r="P432"/>
    </row>
    <row r="433" spans="1:16" ht="43.8" thickBot="1" x14ac:dyDescent="0.35">
      <c r="A433" s="869" t="s">
        <v>2151</v>
      </c>
      <c r="B433" s="872">
        <f>'[1]PLAN DE DESARROLLO 2024 - 2027'!$K$4</f>
        <v>0.29293663727866731</v>
      </c>
      <c r="C433" s="869" t="s">
        <v>2157</v>
      </c>
      <c r="D433" s="872">
        <f>'[1]PLAN DE DESARROLLO 2024 - 2027'!$K$20</f>
        <v>0.23527151611744229</v>
      </c>
      <c r="E433" s="869" t="s">
        <v>1629</v>
      </c>
      <c r="F433" s="872">
        <f>'[1]PLAN DE DESARROLLO 2024 - 2027'!$K$24</f>
        <v>0.26081483989452564</v>
      </c>
      <c r="G433" s="869" t="s">
        <v>208</v>
      </c>
      <c r="H433" s="869" t="s">
        <v>209</v>
      </c>
      <c r="I433" s="901">
        <f>+'Seguridad Humana'!Z119</f>
        <v>0.49964285714285717</v>
      </c>
      <c r="J433" s="869" t="s">
        <v>162</v>
      </c>
      <c r="K433" s="873" t="s">
        <v>2004</v>
      </c>
      <c r="P433"/>
    </row>
    <row r="434" spans="1:16" ht="58.2" thickBot="1" x14ac:dyDescent="0.35">
      <c r="A434" s="869" t="s">
        <v>2151</v>
      </c>
      <c r="B434" s="872">
        <f>'[1]PLAN DE DESARROLLO 2024 - 2027'!$K$4</f>
        <v>0.29293663727866731</v>
      </c>
      <c r="C434" s="869" t="s">
        <v>2157</v>
      </c>
      <c r="D434" s="872">
        <f>'[1]PLAN DE DESARROLLO 2024 - 2027'!$K$20</f>
        <v>0.23527151611744229</v>
      </c>
      <c r="E434" s="869" t="s">
        <v>1629</v>
      </c>
      <c r="F434" s="872">
        <f>'[1]PLAN DE DESARROLLO 2024 - 2027'!$K$24</f>
        <v>0.26081483989452564</v>
      </c>
      <c r="G434" s="869" t="s">
        <v>210</v>
      </c>
      <c r="H434" s="869" t="s">
        <v>211</v>
      </c>
      <c r="I434" s="901">
        <f>+'Seguridad Humana'!Z120</f>
        <v>1</v>
      </c>
      <c r="J434" s="869" t="s">
        <v>162</v>
      </c>
      <c r="K434" s="873" t="s">
        <v>2004</v>
      </c>
      <c r="P434"/>
    </row>
    <row r="435" spans="1:16" ht="58.2" thickBot="1" x14ac:dyDescent="0.35">
      <c r="A435" s="869" t="s">
        <v>2151</v>
      </c>
      <c r="B435" s="872">
        <f>'[1]PLAN DE DESARROLLO 2024 - 2027'!$K$4</f>
        <v>0.29293663727866731</v>
      </c>
      <c r="C435" s="869" t="s">
        <v>2157</v>
      </c>
      <c r="D435" s="872">
        <f>'[1]PLAN DE DESARROLLO 2024 - 2027'!$K$20</f>
        <v>0.23527151611744229</v>
      </c>
      <c r="E435" s="869" t="s">
        <v>1629</v>
      </c>
      <c r="F435" s="872">
        <f>'[1]PLAN DE DESARROLLO 2024 - 2027'!$K$24</f>
        <v>0.26081483989452564</v>
      </c>
      <c r="G435" s="869" t="s">
        <v>212</v>
      </c>
      <c r="H435" s="869" t="s">
        <v>213</v>
      </c>
      <c r="I435" s="901">
        <f>+'Seguridad Humana'!Z121</f>
        <v>0.5625</v>
      </c>
      <c r="J435" s="869" t="s">
        <v>162</v>
      </c>
      <c r="K435" s="873" t="s">
        <v>2004</v>
      </c>
      <c r="P435"/>
    </row>
    <row r="436" spans="1:16" ht="43.8" thickBot="1" x14ac:dyDescent="0.35">
      <c r="A436" s="869" t="s">
        <v>2151</v>
      </c>
      <c r="B436" s="872">
        <f>'[1]PLAN DE DESARROLLO 2024 - 2027'!$K$4</f>
        <v>0.29293663727866731</v>
      </c>
      <c r="C436" s="869" t="s">
        <v>2157</v>
      </c>
      <c r="D436" s="872">
        <f>'[1]PLAN DE DESARROLLO 2024 - 2027'!$K$20</f>
        <v>0.23527151611744229</v>
      </c>
      <c r="E436" s="869" t="s">
        <v>1629</v>
      </c>
      <c r="F436" s="872">
        <f>'[1]PLAN DE DESARROLLO 2024 - 2027'!$K$24</f>
        <v>0.26081483989452564</v>
      </c>
      <c r="G436" s="869" t="s">
        <v>2165</v>
      </c>
      <c r="H436" s="869" t="s">
        <v>2166</v>
      </c>
      <c r="I436" s="901">
        <f>+'Seguridad Humana'!Z122</f>
        <v>0.52333333333333332</v>
      </c>
      <c r="J436" s="869" t="s">
        <v>162</v>
      </c>
      <c r="K436" s="873" t="s">
        <v>2004</v>
      </c>
      <c r="P436"/>
    </row>
    <row r="437" spans="1:16" ht="43.8" thickBot="1" x14ac:dyDescent="0.35">
      <c r="A437" s="869" t="s">
        <v>2151</v>
      </c>
      <c r="B437" s="872">
        <f>'[1]PLAN DE DESARROLLO 2024 - 2027'!$K$4</f>
        <v>0.29293663727866731</v>
      </c>
      <c r="C437" s="869" t="s">
        <v>2157</v>
      </c>
      <c r="D437" s="872">
        <f>'[1]PLAN DE DESARROLLO 2024 - 2027'!$K$20</f>
        <v>0.23527151611744229</v>
      </c>
      <c r="E437" s="869" t="s">
        <v>1629</v>
      </c>
      <c r="F437" s="872">
        <f>'[1]PLAN DE DESARROLLO 2024 - 2027'!$K$24</f>
        <v>0.26081483989452564</v>
      </c>
      <c r="G437" s="869" t="s">
        <v>216</v>
      </c>
      <c r="H437" s="869" t="s">
        <v>217</v>
      </c>
      <c r="I437" s="901">
        <f>+'Seguridad Humana'!Z123</f>
        <v>0.53333333333333333</v>
      </c>
      <c r="J437" s="869" t="s">
        <v>162</v>
      </c>
      <c r="K437" s="873" t="s">
        <v>2004</v>
      </c>
      <c r="P437"/>
    </row>
    <row r="438" spans="1:16" ht="43.8" thickBot="1" x14ac:dyDescent="0.35">
      <c r="A438" s="869" t="s">
        <v>2151</v>
      </c>
      <c r="B438" s="872">
        <f>'[1]PLAN DE DESARROLLO 2024 - 2027'!$K$4</f>
        <v>0.29293663727866731</v>
      </c>
      <c r="C438" s="869" t="s">
        <v>2157</v>
      </c>
      <c r="D438" s="872">
        <f>'[1]PLAN DE DESARROLLO 2024 - 2027'!$K$20</f>
        <v>0.23527151611744229</v>
      </c>
      <c r="E438" s="869" t="s">
        <v>1629</v>
      </c>
      <c r="F438" s="872">
        <f>'[1]PLAN DE DESARROLLO 2024 - 2027'!$K$24</f>
        <v>0.26081483989452564</v>
      </c>
      <c r="G438" s="869" t="s">
        <v>218</v>
      </c>
      <c r="H438" s="869" t="s">
        <v>219</v>
      </c>
      <c r="I438" s="901">
        <f>+'Seguridad Humana'!Z124</f>
        <v>0.56111111111111112</v>
      </c>
      <c r="J438" s="869" t="s">
        <v>162</v>
      </c>
      <c r="K438" s="873" t="s">
        <v>2004</v>
      </c>
      <c r="P438"/>
    </row>
    <row r="439" spans="1:16" ht="43.8" thickBot="1" x14ac:dyDescent="0.35">
      <c r="A439" s="869" t="s">
        <v>2151</v>
      </c>
      <c r="B439" s="872">
        <f>'[1]PLAN DE DESARROLLO 2024 - 2027'!$K$4</f>
        <v>0.29293663727866731</v>
      </c>
      <c r="C439" s="869" t="s">
        <v>2157</v>
      </c>
      <c r="D439" s="872">
        <f>'[1]PLAN DE DESARROLLO 2024 - 2027'!$K$20</f>
        <v>0.23527151611744229</v>
      </c>
      <c r="E439" s="869" t="s">
        <v>1630</v>
      </c>
      <c r="F439" s="872">
        <f>'[1]PLAN DE DESARROLLO 2024 - 2027'!$K$25</f>
        <v>0.27500000000000002</v>
      </c>
      <c r="G439" s="869" t="s">
        <v>220</v>
      </c>
      <c r="H439" s="869" t="s">
        <v>221</v>
      </c>
      <c r="I439" s="902">
        <f>+'Seguridad Humana'!Z126</f>
        <v>0</v>
      </c>
      <c r="J439" s="869" t="s">
        <v>516</v>
      </c>
      <c r="K439" s="873" t="s">
        <v>2004</v>
      </c>
      <c r="P439"/>
    </row>
    <row r="440" spans="1:16" ht="43.8" thickBot="1" x14ac:dyDescent="0.35">
      <c r="A440" s="869" t="s">
        <v>2151</v>
      </c>
      <c r="B440" s="872">
        <f>'[1]PLAN DE DESARROLLO 2024 - 2027'!$K$4</f>
        <v>0.29293663727866731</v>
      </c>
      <c r="C440" s="869" t="s">
        <v>2157</v>
      </c>
      <c r="D440" s="872">
        <f>'[1]PLAN DE DESARROLLO 2024 - 2027'!$K$20</f>
        <v>0.23527151611744229</v>
      </c>
      <c r="E440" s="869" t="s">
        <v>1630</v>
      </c>
      <c r="F440" s="872">
        <f>'[1]PLAN DE DESARROLLO 2024 - 2027'!$K$25</f>
        <v>0.27500000000000002</v>
      </c>
      <c r="G440" s="869" t="s">
        <v>223</v>
      </c>
      <c r="H440" s="869" t="s">
        <v>224</v>
      </c>
      <c r="I440" s="901">
        <f>+'Seguridad Humana'!Z127</f>
        <v>0.5</v>
      </c>
      <c r="J440" s="869" t="s">
        <v>516</v>
      </c>
      <c r="K440" s="873" t="s">
        <v>2004</v>
      </c>
      <c r="P440"/>
    </row>
    <row r="441" spans="1:16" ht="29.4" thickBot="1" x14ac:dyDescent="0.35">
      <c r="A441" s="869" t="s">
        <v>2151</v>
      </c>
      <c r="B441" s="872">
        <f>'[1]PLAN DE DESARROLLO 2024 - 2027'!$K$4</f>
        <v>0.29293663727866731</v>
      </c>
      <c r="C441" s="869" t="s">
        <v>2157</v>
      </c>
      <c r="D441" s="872">
        <f>'[1]PLAN DE DESARROLLO 2024 - 2027'!$K$20</f>
        <v>0.23527151611744229</v>
      </c>
      <c r="E441" s="869" t="s">
        <v>1630</v>
      </c>
      <c r="F441" s="872">
        <f>'[1]PLAN DE DESARROLLO 2024 - 2027'!$K$25</f>
        <v>0.27500000000000002</v>
      </c>
      <c r="G441" s="869" t="s">
        <v>225</v>
      </c>
      <c r="H441" s="869" t="s">
        <v>226</v>
      </c>
      <c r="I441" s="902">
        <f>+'Seguridad Humana'!Z128</f>
        <v>0</v>
      </c>
      <c r="J441" s="869" t="s">
        <v>516</v>
      </c>
      <c r="K441" s="873" t="s">
        <v>2004</v>
      </c>
      <c r="P441"/>
    </row>
    <row r="442" spans="1:16" ht="29.4" thickBot="1" x14ac:dyDescent="0.35">
      <c r="A442" s="869" t="s">
        <v>2151</v>
      </c>
      <c r="B442" s="872">
        <f>'[1]PLAN DE DESARROLLO 2024 - 2027'!$K$4</f>
        <v>0.29293663727866731</v>
      </c>
      <c r="C442" s="869" t="s">
        <v>2157</v>
      </c>
      <c r="D442" s="872">
        <f>'[1]PLAN DE DESARROLLO 2024 - 2027'!$K$20</f>
        <v>0.23527151611744229</v>
      </c>
      <c r="E442" s="869" t="s">
        <v>1630</v>
      </c>
      <c r="F442" s="872">
        <f>'[1]PLAN DE DESARROLLO 2024 - 2027'!$K$25</f>
        <v>0.27500000000000002</v>
      </c>
      <c r="G442" s="869" t="s">
        <v>227</v>
      </c>
      <c r="H442" s="869" t="s">
        <v>228</v>
      </c>
      <c r="I442" s="901">
        <f>+'Seguridad Humana'!Z129</f>
        <v>0</v>
      </c>
      <c r="J442" s="869" t="s">
        <v>516</v>
      </c>
      <c r="K442" s="873" t="s">
        <v>2004</v>
      </c>
      <c r="P442"/>
    </row>
    <row r="443" spans="1:16" ht="29.4" thickBot="1" x14ac:dyDescent="0.35">
      <c r="A443" s="869" t="s">
        <v>2151</v>
      </c>
      <c r="B443" s="872">
        <f>'[1]PLAN DE DESARROLLO 2024 - 2027'!$K$4</f>
        <v>0.29293663727866731</v>
      </c>
      <c r="C443" s="869" t="s">
        <v>2152</v>
      </c>
      <c r="D443" s="872">
        <f>'[1]PLAN DE DESARROLLO 2024 - 2027'!$K$26</f>
        <v>0.26520247826018756</v>
      </c>
      <c r="E443" s="869" t="s">
        <v>2167</v>
      </c>
      <c r="F443" s="872">
        <f>'[1]PLAN DE DESARROLLO 2024 - 2027'!$K$27</f>
        <v>0.30297379192497215</v>
      </c>
      <c r="G443" s="869" t="s">
        <v>230</v>
      </c>
      <c r="H443" s="869" t="s">
        <v>231</v>
      </c>
      <c r="I443" s="901">
        <f>+'Seguridad Humana'!Z132</f>
        <v>0.38143776824034337</v>
      </c>
      <c r="J443" s="869" t="s">
        <v>58</v>
      </c>
      <c r="K443" s="873" t="s">
        <v>2004</v>
      </c>
      <c r="P443"/>
    </row>
    <row r="444" spans="1:16" ht="29.4" thickBot="1" x14ac:dyDescent="0.35">
      <c r="A444" s="869" t="s">
        <v>2151</v>
      </c>
      <c r="B444" s="872">
        <f>'[1]PLAN DE DESARROLLO 2024 - 2027'!$K$4</f>
        <v>0.29293663727866731</v>
      </c>
      <c r="C444" s="869" t="s">
        <v>2152</v>
      </c>
      <c r="D444" s="872">
        <f>'[1]PLAN DE DESARROLLO 2024 - 2027'!$K$26</f>
        <v>0.26520247826018756</v>
      </c>
      <c r="E444" s="869" t="s">
        <v>2167</v>
      </c>
      <c r="F444" s="872">
        <f>'[1]PLAN DE DESARROLLO 2024 - 2027'!$K$27</f>
        <v>0.30297379192497215</v>
      </c>
      <c r="G444" s="869" t="s">
        <v>232</v>
      </c>
      <c r="H444" s="869" t="s">
        <v>233</v>
      </c>
      <c r="I444" s="901">
        <f>+'Seguridad Humana'!Z133</f>
        <v>0.5</v>
      </c>
      <c r="J444" s="869" t="s">
        <v>58</v>
      </c>
      <c r="K444" s="873" t="s">
        <v>2004</v>
      </c>
      <c r="P444"/>
    </row>
    <row r="445" spans="1:16" ht="29.4" thickBot="1" x14ac:dyDescent="0.35">
      <c r="A445" s="869" t="s">
        <v>2151</v>
      </c>
      <c r="B445" s="872">
        <f>'[1]PLAN DE DESARROLLO 2024 - 2027'!$K$4</f>
        <v>0.29293663727866731</v>
      </c>
      <c r="C445" s="869" t="s">
        <v>2152</v>
      </c>
      <c r="D445" s="872">
        <f>'[1]PLAN DE DESARROLLO 2024 - 2027'!$K$26</f>
        <v>0.26520247826018756</v>
      </c>
      <c r="E445" s="869" t="s">
        <v>2167</v>
      </c>
      <c r="F445" s="872">
        <f>'[1]PLAN DE DESARROLLO 2024 - 2027'!$K$27</f>
        <v>0.30297379192497215</v>
      </c>
      <c r="G445" s="869" t="s">
        <v>234</v>
      </c>
      <c r="H445" s="869" t="s">
        <v>235</v>
      </c>
      <c r="I445" s="901">
        <f>+'Seguridad Humana'!Z134</f>
        <v>0.45500000000000002</v>
      </c>
      <c r="J445" s="869" t="s">
        <v>58</v>
      </c>
      <c r="K445" s="873" t="s">
        <v>2004</v>
      </c>
      <c r="P445"/>
    </row>
    <row r="446" spans="1:16" ht="29.4" thickBot="1" x14ac:dyDescent="0.35">
      <c r="A446" s="869" t="s">
        <v>2151</v>
      </c>
      <c r="B446" s="872">
        <f>'[1]PLAN DE DESARROLLO 2024 - 2027'!$K$4</f>
        <v>0.29293663727866731</v>
      </c>
      <c r="C446" s="869" t="s">
        <v>2152</v>
      </c>
      <c r="D446" s="872">
        <f>'[1]PLAN DE DESARROLLO 2024 - 2027'!$K$26</f>
        <v>0.26520247826018756</v>
      </c>
      <c r="E446" s="869" t="s">
        <v>2167</v>
      </c>
      <c r="F446" s="872">
        <f>'[1]PLAN DE DESARROLLO 2024 - 2027'!$K$27</f>
        <v>0.30297379192497215</v>
      </c>
      <c r="G446" s="869" t="s">
        <v>236</v>
      </c>
      <c r="H446" s="869" t="s">
        <v>237</v>
      </c>
      <c r="I446" s="901">
        <f>+'Seguridad Humana'!Z135</f>
        <v>0.5</v>
      </c>
      <c r="J446" s="869" t="s">
        <v>58</v>
      </c>
      <c r="K446" s="873" t="s">
        <v>2004</v>
      </c>
      <c r="P446"/>
    </row>
    <row r="447" spans="1:16" ht="29.4" thickBot="1" x14ac:dyDescent="0.35">
      <c r="A447" s="869" t="s">
        <v>2151</v>
      </c>
      <c r="B447" s="872">
        <f>'[1]PLAN DE DESARROLLO 2024 - 2027'!$K$4</f>
        <v>0.29293663727866731</v>
      </c>
      <c r="C447" s="869" t="s">
        <v>2152</v>
      </c>
      <c r="D447" s="872">
        <f>'[1]PLAN DE DESARROLLO 2024 - 2027'!$K$26</f>
        <v>0.26520247826018756</v>
      </c>
      <c r="E447" s="869" t="s">
        <v>2167</v>
      </c>
      <c r="F447" s="872">
        <f>'[1]PLAN DE DESARROLLO 2024 - 2027'!$K$27</f>
        <v>0.30297379192497215</v>
      </c>
      <c r="G447" s="869" t="s">
        <v>238</v>
      </c>
      <c r="H447" s="869" t="s">
        <v>239</v>
      </c>
      <c r="I447" s="902">
        <f>+'Seguridad Humana'!Z136</f>
        <v>0</v>
      </c>
      <c r="J447" s="869" t="s">
        <v>58</v>
      </c>
      <c r="K447" s="873" t="s">
        <v>2004</v>
      </c>
      <c r="P447"/>
    </row>
    <row r="448" spans="1:16" ht="29.4" thickBot="1" x14ac:dyDescent="0.35">
      <c r="A448" s="869" t="s">
        <v>2151</v>
      </c>
      <c r="B448" s="872">
        <f>'[1]PLAN DE DESARROLLO 2024 - 2027'!$K$4</f>
        <v>0.29293663727866731</v>
      </c>
      <c r="C448" s="869" t="s">
        <v>2152</v>
      </c>
      <c r="D448" s="872">
        <f>'[1]PLAN DE DESARROLLO 2024 - 2027'!$K$26</f>
        <v>0.26520247826018756</v>
      </c>
      <c r="E448" s="869" t="s">
        <v>2167</v>
      </c>
      <c r="F448" s="872">
        <f>'[1]PLAN DE DESARROLLO 2024 - 2027'!$K$27</f>
        <v>0.30297379192497215</v>
      </c>
      <c r="G448" s="869" t="s">
        <v>240</v>
      </c>
      <c r="H448" s="869" t="s">
        <v>241</v>
      </c>
      <c r="I448" s="901">
        <f>+'Seguridad Humana'!Z137</f>
        <v>0.7</v>
      </c>
      <c r="J448" s="869" t="s">
        <v>58</v>
      </c>
      <c r="K448" s="873" t="s">
        <v>2004</v>
      </c>
      <c r="P448"/>
    </row>
    <row r="449" spans="1:16" ht="29.4" thickBot="1" x14ac:dyDescent="0.35">
      <c r="A449" s="869" t="s">
        <v>2151</v>
      </c>
      <c r="B449" s="872">
        <f>'[1]PLAN DE DESARROLLO 2024 - 2027'!$K$4</f>
        <v>0.29293663727866731</v>
      </c>
      <c r="C449" s="869" t="s">
        <v>2152</v>
      </c>
      <c r="D449" s="872">
        <f>'[1]PLAN DE DESARROLLO 2024 - 2027'!$K$26</f>
        <v>0.26520247826018756</v>
      </c>
      <c r="E449" s="869" t="s">
        <v>2167</v>
      </c>
      <c r="F449" s="872">
        <f>'[1]PLAN DE DESARROLLO 2024 - 2027'!$K$27</f>
        <v>0.30297379192497215</v>
      </c>
      <c r="G449" s="869" t="s">
        <v>2168</v>
      </c>
      <c r="H449" s="869" t="s">
        <v>2169</v>
      </c>
      <c r="I449" s="902">
        <f>+'Seguridad Humana'!Z138</f>
        <v>1</v>
      </c>
      <c r="J449" s="869" t="s">
        <v>58</v>
      </c>
      <c r="K449" s="873" t="s">
        <v>2004</v>
      </c>
      <c r="P449"/>
    </row>
    <row r="450" spans="1:16" ht="29.4" thickBot="1" x14ac:dyDescent="0.35">
      <c r="A450" s="869" t="s">
        <v>2151</v>
      </c>
      <c r="B450" s="872">
        <f>'[1]PLAN DE DESARROLLO 2024 - 2027'!$K$4</f>
        <v>0.29293663727866731</v>
      </c>
      <c r="C450" s="869" t="s">
        <v>2152</v>
      </c>
      <c r="D450" s="872">
        <f>'[1]PLAN DE DESARROLLO 2024 - 2027'!$K$26</f>
        <v>0.26520247826018756</v>
      </c>
      <c r="E450" s="869" t="s">
        <v>2167</v>
      </c>
      <c r="F450" s="872">
        <f>'[1]PLAN DE DESARROLLO 2024 - 2027'!$K$27</f>
        <v>0.30297379192497215</v>
      </c>
      <c r="G450" s="869" t="s">
        <v>244</v>
      </c>
      <c r="H450" s="869" t="s">
        <v>245</v>
      </c>
      <c r="I450" s="901">
        <f>+'Seguridad Humana'!Z139</f>
        <v>1</v>
      </c>
      <c r="J450" s="869" t="s">
        <v>58</v>
      </c>
      <c r="K450" s="873" t="s">
        <v>2004</v>
      </c>
      <c r="P450"/>
    </row>
    <row r="451" spans="1:16" ht="43.8" thickBot="1" x14ac:dyDescent="0.35">
      <c r="A451" s="869" t="s">
        <v>2151</v>
      </c>
      <c r="B451" s="872">
        <f>'[1]PLAN DE DESARROLLO 2024 - 2027'!$K$4</f>
        <v>0.29293663727866731</v>
      </c>
      <c r="C451" s="869" t="s">
        <v>2152</v>
      </c>
      <c r="D451" s="872">
        <f>'[1]PLAN DE DESARROLLO 2024 - 2027'!$K$26</f>
        <v>0.26520247826018756</v>
      </c>
      <c r="E451" s="869" t="s">
        <v>2170</v>
      </c>
      <c r="F451" s="872">
        <f>'[1]PLAN DE DESARROLLO 2024 - 2027'!$K$28</f>
        <v>0.13789107763615296</v>
      </c>
      <c r="G451" s="869" t="s">
        <v>246</v>
      </c>
      <c r="H451" s="869" t="s">
        <v>247</v>
      </c>
      <c r="I451" s="901">
        <f>+'Seguridad Humana'!Z141</f>
        <v>0.5385283893395133</v>
      </c>
      <c r="J451" s="869" t="s">
        <v>58</v>
      </c>
      <c r="K451" s="873" t="s">
        <v>2004</v>
      </c>
      <c r="P451"/>
    </row>
    <row r="452" spans="1:16" ht="43.8" thickBot="1" x14ac:dyDescent="0.35">
      <c r="A452" s="869" t="s">
        <v>2151</v>
      </c>
      <c r="B452" s="872">
        <f>'[1]PLAN DE DESARROLLO 2024 - 2027'!$K$4</f>
        <v>0.29293663727866731</v>
      </c>
      <c r="C452" s="869" t="s">
        <v>2152</v>
      </c>
      <c r="D452" s="872">
        <f>'[1]PLAN DE DESARROLLO 2024 - 2027'!$K$26</f>
        <v>0.26520247826018756</v>
      </c>
      <c r="E452" s="869" t="s">
        <v>2170</v>
      </c>
      <c r="F452" s="872">
        <f>'[1]PLAN DE DESARROLLO 2024 - 2027'!$K$28</f>
        <v>0.13789107763615296</v>
      </c>
      <c r="G452" s="869" t="s">
        <v>248</v>
      </c>
      <c r="H452" s="869" t="s">
        <v>2171</v>
      </c>
      <c r="I452" s="901">
        <f>+'Seguridad Humana'!Z142</f>
        <v>0.5</v>
      </c>
      <c r="J452" s="869" t="s">
        <v>58</v>
      </c>
      <c r="K452" s="873" t="s">
        <v>2004</v>
      </c>
      <c r="P452"/>
    </row>
    <row r="453" spans="1:16" ht="29.4" thickBot="1" x14ac:dyDescent="0.35">
      <c r="A453" s="869" t="s">
        <v>2151</v>
      </c>
      <c r="B453" s="872">
        <f>'[1]PLAN DE DESARROLLO 2024 - 2027'!$K$4</f>
        <v>0.29293663727866731</v>
      </c>
      <c r="C453" s="869" t="s">
        <v>2152</v>
      </c>
      <c r="D453" s="872">
        <f>'[1]PLAN DE DESARROLLO 2024 - 2027'!$K$26</f>
        <v>0.26520247826018756</v>
      </c>
      <c r="E453" s="869" t="s">
        <v>2172</v>
      </c>
      <c r="F453" s="872">
        <f>'[1]PLAN DE DESARROLLO 2024 - 2027'!$K$29</f>
        <v>0.20291666666666666</v>
      </c>
      <c r="G453" s="869" t="s">
        <v>250</v>
      </c>
      <c r="H453" s="869" t="s">
        <v>251</v>
      </c>
      <c r="I453" s="901">
        <f>+'Seguridad Humana'!Z144</f>
        <v>0.495</v>
      </c>
      <c r="J453" s="869" t="s">
        <v>58</v>
      </c>
      <c r="K453" s="873" t="s">
        <v>2004</v>
      </c>
      <c r="P453"/>
    </row>
    <row r="454" spans="1:16" ht="29.4" thickBot="1" x14ac:dyDescent="0.35">
      <c r="A454" s="869" t="s">
        <v>2151</v>
      </c>
      <c r="B454" s="872">
        <f>'[1]PLAN DE DESARROLLO 2024 - 2027'!$K$4</f>
        <v>0.29293663727866731</v>
      </c>
      <c r="C454" s="869" t="s">
        <v>2152</v>
      </c>
      <c r="D454" s="872">
        <f>'[1]PLAN DE DESARROLLO 2024 - 2027'!$K$26</f>
        <v>0.26520247826018756</v>
      </c>
      <c r="E454" s="869" t="s">
        <v>2172</v>
      </c>
      <c r="F454" s="872">
        <f>'[1]PLAN DE DESARROLLO 2024 - 2027'!$K$29</f>
        <v>0.20291666666666666</v>
      </c>
      <c r="G454" s="869" t="s">
        <v>252</v>
      </c>
      <c r="H454" s="869" t="s">
        <v>253</v>
      </c>
      <c r="I454" s="901">
        <f>+'Seguridad Humana'!Z145</f>
        <v>0.5</v>
      </c>
      <c r="J454" s="869" t="s">
        <v>58</v>
      </c>
      <c r="K454" s="873" t="s">
        <v>2004</v>
      </c>
      <c r="P454"/>
    </row>
    <row r="455" spans="1:16" ht="29.4" thickBot="1" x14ac:dyDescent="0.35">
      <c r="A455" s="869" t="s">
        <v>2151</v>
      </c>
      <c r="B455" s="872">
        <f>'[1]PLAN DE DESARROLLO 2024 - 2027'!$K$4</f>
        <v>0.29293663727866731</v>
      </c>
      <c r="C455" s="869" t="s">
        <v>2152</v>
      </c>
      <c r="D455" s="872">
        <f>'[1]PLAN DE DESARROLLO 2024 - 2027'!$K$26</f>
        <v>0.26520247826018756</v>
      </c>
      <c r="E455" s="869" t="s">
        <v>2172</v>
      </c>
      <c r="F455" s="872">
        <f>'[1]PLAN DE DESARROLLO 2024 - 2027'!$K$29</f>
        <v>0.20291666666666666</v>
      </c>
      <c r="G455" s="869" t="s">
        <v>254</v>
      </c>
      <c r="H455" s="869" t="s">
        <v>255</v>
      </c>
      <c r="I455" s="901">
        <f>+'Seguridad Humana'!Z146</f>
        <v>0.4</v>
      </c>
      <c r="J455" s="869" t="s">
        <v>58</v>
      </c>
      <c r="K455" s="873" t="s">
        <v>2004</v>
      </c>
      <c r="P455"/>
    </row>
    <row r="456" spans="1:16" ht="29.4" thickBot="1" x14ac:dyDescent="0.35">
      <c r="A456" s="869" t="s">
        <v>2151</v>
      </c>
      <c r="B456" s="872">
        <f>'[1]PLAN DE DESARROLLO 2024 - 2027'!$K$4</f>
        <v>0.29293663727866731</v>
      </c>
      <c r="C456" s="869" t="s">
        <v>2152</v>
      </c>
      <c r="D456" s="872">
        <f>'[1]PLAN DE DESARROLLO 2024 - 2027'!$K$26</f>
        <v>0.26520247826018756</v>
      </c>
      <c r="E456" s="869" t="s">
        <v>2172</v>
      </c>
      <c r="F456" s="872">
        <f>'[1]PLAN DE DESARROLLO 2024 - 2027'!$K$29</f>
        <v>0.20291666666666666</v>
      </c>
      <c r="G456" s="869" t="s">
        <v>1561</v>
      </c>
      <c r="H456" s="869" t="s">
        <v>1562</v>
      </c>
      <c r="I456" s="901">
        <f>+'Seguridad Humana'!Z147</f>
        <v>0.48333333333333334</v>
      </c>
      <c r="J456" s="869" t="s">
        <v>58</v>
      </c>
      <c r="K456" s="873" t="s">
        <v>2004</v>
      </c>
      <c r="P456"/>
    </row>
    <row r="457" spans="1:16" ht="29.4" thickBot="1" x14ac:dyDescent="0.35">
      <c r="A457" s="869" t="s">
        <v>2151</v>
      </c>
      <c r="B457" s="872">
        <f>'[1]PLAN DE DESARROLLO 2024 - 2027'!$K$4</f>
        <v>0.29293663727866731</v>
      </c>
      <c r="C457" s="869" t="s">
        <v>2152</v>
      </c>
      <c r="D457" s="872">
        <f>'[1]PLAN DE DESARROLLO 2024 - 2027'!$K$26</f>
        <v>0.26520247826018756</v>
      </c>
      <c r="E457" s="869" t="s">
        <v>2173</v>
      </c>
      <c r="F457" s="872">
        <f>'[1]PLAN DE DESARROLLO 2024 - 2027'!$K$30</f>
        <v>0.44583333333333341</v>
      </c>
      <c r="G457" s="869" t="s">
        <v>256</v>
      </c>
      <c r="H457" s="869" t="s">
        <v>257</v>
      </c>
      <c r="I457" s="901">
        <f>+'Seguridad Humana'!Z149</f>
        <v>0.5</v>
      </c>
      <c r="J457" s="869" t="s">
        <v>58</v>
      </c>
      <c r="K457" s="873" t="s">
        <v>2004</v>
      </c>
      <c r="P457"/>
    </row>
    <row r="458" spans="1:16" ht="29.4" thickBot="1" x14ac:dyDescent="0.35">
      <c r="A458" s="869" t="s">
        <v>2151</v>
      </c>
      <c r="B458" s="872">
        <f>'[1]PLAN DE DESARROLLO 2024 - 2027'!$K$4</f>
        <v>0.29293663727866731</v>
      </c>
      <c r="C458" s="869" t="s">
        <v>2152</v>
      </c>
      <c r="D458" s="872">
        <f>'[1]PLAN DE DESARROLLO 2024 - 2027'!$K$26</f>
        <v>0.26520247826018756</v>
      </c>
      <c r="E458" s="869" t="s">
        <v>2173</v>
      </c>
      <c r="F458" s="872">
        <f>'[1]PLAN DE DESARROLLO 2024 - 2027'!$K$30</f>
        <v>0.44583333333333341</v>
      </c>
      <c r="G458" s="869" t="s">
        <v>258</v>
      </c>
      <c r="H458" s="869" t="s">
        <v>259</v>
      </c>
      <c r="I458" s="901">
        <f>+'Seguridad Humana'!Z150</f>
        <v>1</v>
      </c>
      <c r="J458" s="869" t="s">
        <v>58</v>
      </c>
      <c r="K458" s="873" t="s">
        <v>2004</v>
      </c>
      <c r="P458"/>
    </row>
    <row r="459" spans="1:16" ht="29.4" thickBot="1" x14ac:dyDescent="0.35">
      <c r="A459" s="869" t="s">
        <v>2151</v>
      </c>
      <c r="B459" s="872">
        <f>'[1]PLAN DE DESARROLLO 2024 - 2027'!$K$4</f>
        <v>0.29293663727866731</v>
      </c>
      <c r="C459" s="869" t="s">
        <v>2152</v>
      </c>
      <c r="D459" s="872">
        <f>'[1]PLAN DE DESARROLLO 2024 - 2027'!$K$26</f>
        <v>0.26520247826018756</v>
      </c>
      <c r="E459" s="869" t="s">
        <v>2173</v>
      </c>
      <c r="F459" s="872">
        <f>'[1]PLAN DE DESARROLLO 2024 - 2027'!$K$30</f>
        <v>0.44583333333333341</v>
      </c>
      <c r="G459" s="869" t="s">
        <v>260</v>
      </c>
      <c r="H459" s="869" t="s">
        <v>261</v>
      </c>
      <c r="I459" s="901">
        <f>+'Seguridad Humana'!Z151</f>
        <v>0.5</v>
      </c>
      <c r="J459" s="869" t="s">
        <v>58</v>
      </c>
      <c r="K459" s="873" t="s">
        <v>2004</v>
      </c>
      <c r="P459"/>
    </row>
    <row r="460" spans="1:16" ht="29.4" thickBot="1" x14ac:dyDescent="0.35">
      <c r="A460" s="869" t="s">
        <v>2151</v>
      </c>
      <c r="B460" s="872">
        <f>'[1]PLAN DE DESARROLLO 2024 - 2027'!$K$4</f>
        <v>0.29293663727866731</v>
      </c>
      <c r="C460" s="869" t="s">
        <v>2152</v>
      </c>
      <c r="D460" s="872">
        <f>'[1]PLAN DE DESARROLLO 2024 - 2027'!$K$26</f>
        <v>0.26520247826018756</v>
      </c>
      <c r="E460" s="869" t="s">
        <v>2173</v>
      </c>
      <c r="F460" s="872">
        <f>'[1]PLAN DE DESARROLLO 2024 - 2027'!$K$30</f>
        <v>0.44583333333333341</v>
      </c>
      <c r="G460" s="869" t="s">
        <v>262</v>
      </c>
      <c r="H460" s="869" t="s">
        <v>263</v>
      </c>
      <c r="I460" s="901">
        <f>+'Seguridad Humana'!Z152</f>
        <v>0.2</v>
      </c>
      <c r="J460" s="869" t="s">
        <v>58</v>
      </c>
      <c r="K460" s="873" t="s">
        <v>2004</v>
      </c>
      <c r="P460"/>
    </row>
    <row r="461" spans="1:16" ht="39.6" customHeight="1" thickBot="1" x14ac:dyDescent="0.35">
      <c r="A461" s="869" t="s">
        <v>2151</v>
      </c>
      <c r="B461" s="872">
        <f>'[1]PLAN DE DESARROLLO 2024 - 2027'!$K$4</f>
        <v>0.29293663727866731</v>
      </c>
      <c r="C461" s="869" t="s">
        <v>2152</v>
      </c>
      <c r="D461" s="872">
        <f>'[1]PLAN DE DESARROLLO 2024 - 2027'!$K$26</f>
        <v>0.26520247826018756</v>
      </c>
      <c r="E461" s="869" t="s">
        <v>1615</v>
      </c>
      <c r="F461" s="872">
        <f>'[1]PLAN DE DESARROLLO 2024 - 2027'!$K$31</f>
        <v>0.25</v>
      </c>
      <c r="G461" s="869" t="s">
        <v>264</v>
      </c>
      <c r="H461" s="869" t="s">
        <v>265</v>
      </c>
      <c r="I461" s="901">
        <f>+'Seguridad Humana'!Z154</f>
        <v>1</v>
      </c>
      <c r="J461" s="869" t="s">
        <v>12</v>
      </c>
      <c r="K461" s="873" t="s">
        <v>2004</v>
      </c>
      <c r="P461"/>
    </row>
    <row r="462" spans="1:16" ht="29.4" thickBot="1" x14ac:dyDescent="0.35">
      <c r="A462" s="869" t="s">
        <v>2151</v>
      </c>
      <c r="B462" s="872">
        <f>'[1]PLAN DE DESARROLLO 2024 - 2027'!$K$4</f>
        <v>0.29293663727866731</v>
      </c>
      <c r="C462" s="869" t="s">
        <v>2152</v>
      </c>
      <c r="D462" s="872">
        <f>'[1]PLAN DE DESARROLLO 2024 - 2027'!$K$26</f>
        <v>0.26520247826018756</v>
      </c>
      <c r="E462" s="869" t="s">
        <v>1615</v>
      </c>
      <c r="F462" s="872">
        <f>'[1]PLAN DE DESARROLLO 2024 - 2027'!$K$31</f>
        <v>0.25</v>
      </c>
      <c r="G462" s="869" t="s">
        <v>266</v>
      </c>
      <c r="H462" s="869" t="s">
        <v>267</v>
      </c>
      <c r="I462" s="901">
        <f>+'Seguridad Humana'!Z155</f>
        <v>0.75</v>
      </c>
      <c r="J462" s="869" t="s">
        <v>12</v>
      </c>
      <c r="K462" s="873" t="s">
        <v>2004</v>
      </c>
      <c r="P462"/>
    </row>
    <row r="463" spans="1:16" ht="15" customHeight="1" thickBot="1" x14ac:dyDescent="0.35">
      <c r="A463" s="869" t="s">
        <v>2151</v>
      </c>
      <c r="B463" s="872">
        <f>'[1]PLAN DE DESARROLLO 2024 - 2027'!$K$4</f>
        <v>0.29293663727866731</v>
      </c>
      <c r="C463" s="869" t="s">
        <v>2152</v>
      </c>
      <c r="D463" s="872">
        <f>'[1]PLAN DE DESARROLLO 2024 - 2027'!$K$26</f>
        <v>0.26520247826018756</v>
      </c>
      <c r="E463" s="869" t="s">
        <v>1615</v>
      </c>
      <c r="F463" s="872">
        <f>'[1]PLAN DE DESARROLLO 2024 - 2027'!$K$31</f>
        <v>0.25</v>
      </c>
      <c r="G463" s="869" t="s">
        <v>268</v>
      </c>
      <c r="H463" s="869" t="s">
        <v>269</v>
      </c>
      <c r="I463" s="901">
        <f>+'Seguridad Humana'!Z156</f>
        <v>0.34012450481041312</v>
      </c>
      <c r="J463" s="869" t="s">
        <v>2174</v>
      </c>
      <c r="K463" s="873" t="s">
        <v>2004</v>
      </c>
      <c r="P463"/>
    </row>
    <row r="464" spans="1:16" ht="29.4" thickBot="1" x14ac:dyDescent="0.35">
      <c r="A464" s="869" t="s">
        <v>2151</v>
      </c>
      <c r="B464" s="872">
        <f>'[1]PLAN DE DESARROLLO 2024 - 2027'!$K$4</f>
        <v>0.29293663727866731</v>
      </c>
      <c r="C464" s="869" t="s">
        <v>2152</v>
      </c>
      <c r="D464" s="872">
        <f>'[1]PLAN DE DESARROLLO 2024 - 2027'!$K$26</f>
        <v>0.26520247826018756</v>
      </c>
      <c r="E464" s="869" t="s">
        <v>1615</v>
      </c>
      <c r="F464" s="872">
        <f>'[1]PLAN DE DESARROLLO 2024 - 2027'!$K$31</f>
        <v>0.25</v>
      </c>
      <c r="G464" s="869" t="s">
        <v>270</v>
      </c>
      <c r="H464" s="869" t="s">
        <v>271</v>
      </c>
      <c r="I464" s="901">
        <f>+'Seguridad Humana'!Z157</f>
        <v>0.74545454545454548</v>
      </c>
      <c r="J464" s="869" t="s">
        <v>12</v>
      </c>
      <c r="K464" s="873" t="s">
        <v>2004</v>
      </c>
      <c r="P464"/>
    </row>
    <row r="465" spans="1:16" ht="29.4" thickBot="1" x14ac:dyDescent="0.35">
      <c r="A465" s="869" t="s">
        <v>2151</v>
      </c>
      <c r="B465" s="872">
        <f>'[1]PLAN DE DESARROLLO 2024 - 2027'!$K$4</f>
        <v>0.29293663727866731</v>
      </c>
      <c r="C465" s="869" t="s">
        <v>2152</v>
      </c>
      <c r="D465" s="872">
        <f>'[1]PLAN DE DESARROLLO 2024 - 2027'!$K$26</f>
        <v>0.26520247826018756</v>
      </c>
      <c r="E465" s="869" t="s">
        <v>1615</v>
      </c>
      <c r="F465" s="872">
        <f>'[1]PLAN DE DESARROLLO 2024 - 2027'!$K$31</f>
        <v>0.25</v>
      </c>
      <c r="G465" s="869" t="s">
        <v>272</v>
      </c>
      <c r="H465" s="869" t="s">
        <v>273</v>
      </c>
      <c r="I465" s="901">
        <f>+'Seguridad Humana'!Z158</f>
        <v>0</v>
      </c>
      <c r="J465" s="869" t="s">
        <v>162</v>
      </c>
      <c r="K465" s="873" t="s">
        <v>2004</v>
      </c>
      <c r="P465"/>
    </row>
    <row r="466" spans="1:16" ht="29.4" thickBot="1" x14ac:dyDescent="0.35">
      <c r="A466" s="869" t="s">
        <v>2151</v>
      </c>
      <c r="B466" s="872">
        <f>'[1]PLAN DE DESARROLLO 2024 - 2027'!$K$4</f>
        <v>0.29293663727866731</v>
      </c>
      <c r="C466" s="869" t="s">
        <v>2152</v>
      </c>
      <c r="D466" s="872">
        <f>'[1]PLAN DE DESARROLLO 2024 - 2027'!$K$26</f>
        <v>0.26520247826018756</v>
      </c>
      <c r="E466" s="869" t="s">
        <v>1615</v>
      </c>
      <c r="F466" s="872">
        <f>'[1]PLAN DE DESARROLLO 2024 - 2027'!$K$31</f>
        <v>0.25</v>
      </c>
      <c r="G466" s="869" t="s">
        <v>274</v>
      </c>
      <c r="H466" s="869" t="s">
        <v>275</v>
      </c>
      <c r="I466" s="901">
        <f>+'Seguridad Humana'!Z159</f>
        <v>0.8564150943396226</v>
      </c>
      <c r="J466" s="869" t="s">
        <v>516</v>
      </c>
      <c r="K466" s="873" t="s">
        <v>2004</v>
      </c>
      <c r="P466"/>
    </row>
    <row r="467" spans="1:16" ht="43.8" thickBot="1" x14ac:dyDescent="0.35">
      <c r="A467" s="869" t="s">
        <v>2151</v>
      </c>
      <c r="B467" s="872">
        <f>'[1]PLAN DE DESARROLLO 2024 - 2027'!$K$4</f>
        <v>0.29293663727866731</v>
      </c>
      <c r="C467" s="869" t="s">
        <v>2152</v>
      </c>
      <c r="D467" s="872">
        <f>'[1]PLAN DE DESARROLLO 2024 - 2027'!$K$26</f>
        <v>0.26520247826018756</v>
      </c>
      <c r="E467" s="869" t="s">
        <v>1616</v>
      </c>
      <c r="F467" s="872">
        <f>'[1]PLAN DE DESARROLLO 2024 - 2027'!$K$32</f>
        <v>0.25159999999999999</v>
      </c>
      <c r="G467" s="869" t="s">
        <v>276</v>
      </c>
      <c r="H467" s="869" t="s">
        <v>277</v>
      </c>
      <c r="I467" s="901">
        <f>+'Seguridad Humana'!Z161</f>
        <v>0.28399999999999997</v>
      </c>
      <c r="J467" s="869" t="s">
        <v>58</v>
      </c>
      <c r="K467" s="873" t="s">
        <v>2004</v>
      </c>
      <c r="P467"/>
    </row>
    <row r="468" spans="1:16" ht="43.8" thickBot="1" x14ac:dyDescent="0.35">
      <c r="A468" s="869" t="s">
        <v>2151</v>
      </c>
      <c r="B468" s="872">
        <f>'[1]PLAN DE DESARROLLO 2024 - 2027'!$K$4</f>
        <v>0.29293663727866731</v>
      </c>
      <c r="C468" s="869" t="s">
        <v>2152</v>
      </c>
      <c r="D468" s="872">
        <f>'[1]PLAN DE DESARROLLO 2024 - 2027'!$K$26</f>
        <v>0.26520247826018756</v>
      </c>
      <c r="E468" s="869" t="s">
        <v>1616</v>
      </c>
      <c r="F468" s="872">
        <f>'[1]PLAN DE DESARROLLO 2024 - 2027'!$K$32</f>
        <v>0.25159999999999999</v>
      </c>
      <c r="G468" s="869" t="s">
        <v>278</v>
      </c>
      <c r="H468" s="869" t="s">
        <v>279</v>
      </c>
      <c r="I468" s="901">
        <f>+'Seguridad Humana'!Z162</f>
        <v>0.4</v>
      </c>
      <c r="J468" s="869" t="s">
        <v>58</v>
      </c>
      <c r="K468" s="873" t="s">
        <v>2004</v>
      </c>
      <c r="P468"/>
    </row>
    <row r="469" spans="1:16" ht="29.4" thickBot="1" x14ac:dyDescent="0.35">
      <c r="A469" s="869" t="s">
        <v>2151</v>
      </c>
      <c r="B469" s="872">
        <f>'[1]PLAN DE DESARROLLO 2024 - 2027'!$K$4</f>
        <v>0.29293663727866731</v>
      </c>
      <c r="C469" s="869" t="s">
        <v>2152</v>
      </c>
      <c r="D469" s="872">
        <f>'[1]PLAN DE DESARROLLO 2024 - 2027'!$K$26</f>
        <v>0.26520247826018756</v>
      </c>
      <c r="E469" s="869" t="s">
        <v>1616</v>
      </c>
      <c r="F469" s="872">
        <f>'[1]PLAN DE DESARROLLO 2024 - 2027'!$K$32</f>
        <v>0.25159999999999999</v>
      </c>
      <c r="G469" s="869" t="s">
        <v>280</v>
      </c>
      <c r="H469" s="869" t="s">
        <v>281</v>
      </c>
      <c r="I469" s="901">
        <f>+'Seguridad Humana'!Z163</f>
        <v>1</v>
      </c>
      <c r="J469" s="869" t="s">
        <v>58</v>
      </c>
      <c r="K469" s="873" t="s">
        <v>2004</v>
      </c>
      <c r="P469"/>
    </row>
    <row r="470" spans="1:16" ht="72.599999999999994" thickBot="1" x14ac:dyDescent="0.35">
      <c r="A470" s="869" t="s">
        <v>2151</v>
      </c>
      <c r="B470" s="872">
        <f>'[1]PLAN DE DESARROLLO 2024 - 2027'!$K$4</f>
        <v>0.29293663727866731</v>
      </c>
      <c r="C470" s="869" t="s">
        <v>2152</v>
      </c>
      <c r="D470" s="872">
        <f>'[1]PLAN DE DESARROLLO 2024 - 2027'!$K$26</f>
        <v>0.26520247826018756</v>
      </c>
      <c r="E470" s="869" t="s">
        <v>1616</v>
      </c>
      <c r="F470" s="872">
        <f>'[1]PLAN DE DESARROLLO 2024 - 2027'!$K$32</f>
        <v>0.25159999999999999</v>
      </c>
      <c r="G470" s="869" t="s">
        <v>2175</v>
      </c>
      <c r="H470" s="869" t="s">
        <v>283</v>
      </c>
      <c r="I470" s="901">
        <f>+'Seguridad Humana'!Z164</f>
        <v>0.875</v>
      </c>
      <c r="J470" s="869" t="s">
        <v>58</v>
      </c>
      <c r="K470" s="873" t="s">
        <v>2004</v>
      </c>
      <c r="P470"/>
    </row>
    <row r="471" spans="1:16" ht="58.2" thickBot="1" x14ac:dyDescent="0.35">
      <c r="A471" s="869" t="s">
        <v>2151</v>
      </c>
      <c r="B471" s="872">
        <f>'[1]PLAN DE DESARROLLO 2024 - 2027'!$K$4</f>
        <v>0.29293663727866731</v>
      </c>
      <c r="C471" s="869" t="s">
        <v>2152</v>
      </c>
      <c r="D471" s="872">
        <f>'[1]PLAN DE DESARROLLO 2024 - 2027'!$K$26</f>
        <v>0.26520247826018756</v>
      </c>
      <c r="E471" s="869" t="s">
        <v>1616</v>
      </c>
      <c r="F471" s="872">
        <f>'[1]PLAN DE DESARROLLO 2024 - 2027'!$K$32</f>
        <v>0.25159999999999999</v>
      </c>
      <c r="G471" s="869" t="s">
        <v>284</v>
      </c>
      <c r="H471" s="869" t="s">
        <v>285</v>
      </c>
      <c r="I471" s="901">
        <f>+'Seguridad Humana'!Z165</f>
        <v>0.5</v>
      </c>
      <c r="J471" s="869" t="s">
        <v>58</v>
      </c>
      <c r="K471" s="873" t="s">
        <v>2004</v>
      </c>
      <c r="P471"/>
    </row>
    <row r="472" spans="1:16" ht="29.4" thickBot="1" x14ac:dyDescent="0.35">
      <c r="A472" s="869" t="s">
        <v>2151</v>
      </c>
      <c r="B472" s="872">
        <f>'[1]PLAN DE DESARROLLO 2024 - 2027'!$K$4</f>
        <v>0.29293663727866731</v>
      </c>
      <c r="C472" s="869" t="s">
        <v>2153</v>
      </c>
      <c r="D472" s="872">
        <f>'[1]PLAN DE DESARROLLO 2024 - 2027'!$K$34</f>
        <v>0.2143569997651622</v>
      </c>
      <c r="E472" s="869" t="s">
        <v>2176</v>
      </c>
      <c r="F472" s="872">
        <f>'[1]PLAN DE DESARROLLO 2024 - 2027'!$K$35</f>
        <v>0.21968750000000001</v>
      </c>
      <c r="G472" s="869" t="s">
        <v>295</v>
      </c>
      <c r="H472" s="869" t="s">
        <v>296</v>
      </c>
      <c r="I472" s="901">
        <f>+'Seguridad Humana'!Z173</f>
        <v>0.353875</v>
      </c>
      <c r="J472" s="869" t="s">
        <v>297</v>
      </c>
      <c r="K472" s="873" t="s">
        <v>2004</v>
      </c>
      <c r="P472"/>
    </row>
    <row r="473" spans="1:16" ht="29.4" thickBot="1" x14ac:dyDescent="0.35">
      <c r="A473" s="869" t="s">
        <v>2151</v>
      </c>
      <c r="B473" s="872">
        <f>'[1]PLAN DE DESARROLLO 2024 - 2027'!$K$4</f>
        <v>0.29293663727866731</v>
      </c>
      <c r="C473" s="869" t="s">
        <v>2153</v>
      </c>
      <c r="D473" s="872">
        <f>'[1]PLAN DE DESARROLLO 2024 - 2027'!$K$34</f>
        <v>0.2143569997651622</v>
      </c>
      <c r="E473" s="869" t="s">
        <v>2176</v>
      </c>
      <c r="F473" s="872">
        <f>'[1]PLAN DE DESARROLLO 2024 - 2027'!$K$35</f>
        <v>0.21968750000000001</v>
      </c>
      <c r="G473" s="869" t="s">
        <v>298</v>
      </c>
      <c r="H473" s="869" t="s">
        <v>299</v>
      </c>
      <c r="I473" s="902">
        <f>+'Seguridad Humana'!Z174</f>
        <v>0.34272727272727271</v>
      </c>
      <c r="J473" s="869" t="s">
        <v>297</v>
      </c>
      <c r="K473" s="873" t="s">
        <v>2004</v>
      </c>
      <c r="P473"/>
    </row>
    <row r="474" spans="1:16" ht="43.8" thickBot="1" x14ac:dyDescent="0.35">
      <c r="A474" s="869" t="s">
        <v>2151</v>
      </c>
      <c r="B474" s="872">
        <f>'[1]PLAN DE DESARROLLO 2024 - 2027'!$K$4</f>
        <v>0.29293663727866731</v>
      </c>
      <c r="C474" s="869" t="s">
        <v>2153</v>
      </c>
      <c r="D474" s="872">
        <f>'[1]PLAN DE DESARROLLO 2024 - 2027'!$K$34</f>
        <v>0.2143569997651622</v>
      </c>
      <c r="E474" s="869" t="s">
        <v>2177</v>
      </c>
      <c r="F474" s="872">
        <f>'[1]PLAN DE DESARROLLO 2024 - 2027'!$K$36</f>
        <v>0.47095833333333337</v>
      </c>
      <c r="G474" s="869" t="s">
        <v>300</v>
      </c>
      <c r="H474" s="869" t="s">
        <v>301</v>
      </c>
      <c r="I474" s="901">
        <f>+'Seguridad Humana'!Z176</f>
        <v>0.64180000000000004</v>
      </c>
      <c r="J474" s="869" t="s">
        <v>297</v>
      </c>
      <c r="K474" s="873" t="s">
        <v>2004</v>
      </c>
      <c r="P474"/>
    </row>
    <row r="475" spans="1:16" ht="29.4" thickBot="1" x14ac:dyDescent="0.35">
      <c r="A475" s="869" t="s">
        <v>2151</v>
      </c>
      <c r="B475" s="872">
        <f>'[1]PLAN DE DESARROLLO 2024 - 2027'!$K$4</f>
        <v>0.29293663727866731</v>
      </c>
      <c r="C475" s="869" t="s">
        <v>2153</v>
      </c>
      <c r="D475" s="872">
        <f>'[1]PLAN DE DESARROLLO 2024 - 2027'!$K$34</f>
        <v>0.2143569997651622</v>
      </c>
      <c r="E475" s="869" t="s">
        <v>2177</v>
      </c>
      <c r="F475" s="872">
        <f>'[1]PLAN DE DESARROLLO 2024 - 2027'!$K$36</f>
        <v>0.47095833333333337</v>
      </c>
      <c r="G475" s="869" t="s">
        <v>302</v>
      </c>
      <c r="H475" s="869" t="s">
        <v>303</v>
      </c>
      <c r="I475" s="901">
        <f>+'Seguridad Humana'!Z177</f>
        <v>0.65766666666666662</v>
      </c>
      <c r="J475" s="869" t="s">
        <v>297</v>
      </c>
      <c r="K475" s="873" t="s">
        <v>2004</v>
      </c>
      <c r="P475"/>
    </row>
    <row r="476" spans="1:16" ht="29.4" thickBot="1" x14ac:dyDescent="0.35">
      <c r="A476" s="869" t="s">
        <v>2151</v>
      </c>
      <c r="B476" s="872">
        <f>'[1]PLAN DE DESARROLLO 2024 - 2027'!$K$4</f>
        <v>0.29293663727866731</v>
      </c>
      <c r="C476" s="869" t="s">
        <v>2153</v>
      </c>
      <c r="D476" s="872">
        <f>'[1]PLAN DE DESARROLLO 2024 - 2027'!$K$34</f>
        <v>0.2143569997651622</v>
      </c>
      <c r="E476" s="869" t="s">
        <v>2177</v>
      </c>
      <c r="F476" s="872">
        <f>'[1]PLAN DE DESARROLLO 2024 - 2027'!$K$36</f>
        <v>0.47095833333333337</v>
      </c>
      <c r="G476" s="869" t="s">
        <v>304</v>
      </c>
      <c r="H476" s="869" t="s">
        <v>305</v>
      </c>
      <c r="I476" s="902">
        <f>+'Seguridad Humana'!Z178</f>
        <v>1</v>
      </c>
      <c r="J476" s="869" t="s">
        <v>297</v>
      </c>
      <c r="K476" s="873" t="s">
        <v>2004</v>
      </c>
      <c r="P476"/>
    </row>
    <row r="477" spans="1:16" ht="29.4" thickBot="1" x14ac:dyDescent="0.35">
      <c r="A477" s="869" t="s">
        <v>2151</v>
      </c>
      <c r="B477" s="872">
        <f>'[1]PLAN DE DESARROLLO 2024 - 2027'!$K$4</f>
        <v>0.29293663727866731</v>
      </c>
      <c r="C477" s="869" t="s">
        <v>2153</v>
      </c>
      <c r="D477" s="872">
        <f>'[1]PLAN DE DESARROLLO 2024 - 2027'!$K$34</f>
        <v>0.2143569997651622</v>
      </c>
      <c r="E477" s="869" t="s">
        <v>1620</v>
      </c>
      <c r="F477" s="872">
        <f>'[1]PLAN DE DESARROLLO 2024 - 2027'!$K$37</f>
        <v>0.13305328807981076</v>
      </c>
      <c r="G477" s="869" t="s">
        <v>306</v>
      </c>
      <c r="H477" s="869" t="s">
        <v>307</v>
      </c>
      <c r="I477" s="901">
        <f>+'Seguridad Humana'!Z180</f>
        <v>0.3284737221022318</v>
      </c>
      <c r="J477" s="869" t="s">
        <v>297</v>
      </c>
      <c r="K477" s="873" t="s">
        <v>2004</v>
      </c>
      <c r="P477"/>
    </row>
    <row r="478" spans="1:16" ht="29.4" thickBot="1" x14ac:dyDescent="0.35">
      <c r="A478" s="869" t="s">
        <v>2151</v>
      </c>
      <c r="B478" s="872">
        <f>'[1]PLAN DE DESARROLLO 2024 - 2027'!$K$4</f>
        <v>0.29293663727866731</v>
      </c>
      <c r="C478" s="869" t="s">
        <v>2153</v>
      </c>
      <c r="D478" s="872">
        <f>'[1]PLAN DE DESARROLLO 2024 - 2027'!$K$34</f>
        <v>0.2143569997651622</v>
      </c>
      <c r="E478" s="869" t="s">
        <v>1620</v>
      </c>
      <c r="F478" s="872">
        <f>'[1]PLAN DE DESARROLLO 2024 - 2027'!$K$37</f>
        <v>0.13305328807981076</v>
      </c>
      <c r="G478" s="869" t="s">
        <v>308</v>
      </c>
      <c r="H478" s="869" t="s">
        <v>309</v>
      </c>
      <c r="I478" s="901">
        <f>+'Seguridad Humana'!Z181</f>
        <v>0.47292857142857142</v>
      </c>
      <c r="J478" s="869" t="s">
        <v>297</v>
      </c>
      <c r="K478" s="873" t="s">
        <v>2004</v>
      </c>
      <c r="P478"/>
    </row>
    <row r="479" spans="1:16" ht="29.4" thickBot="1" x14ac:dyDescent="0.35">
      <c r="A479" s="869" t="s">
        <v>2151</v>
      </c>
      <c r="B479" s="872">
        <f>'[1]PLAN DE DESARROLLO 2024 - 2027'!$K$4</f>
        <v>0.29293663727866731</v>
      </c>
      <c r="C479" s="869" t="s">
        <v>2153</v>
      </c>
      <c r="D479" s="872">
        <f>'[1]PLAN DE DESARROLLO 2024 - 2027'!$K$34</f>
        <v>0.2143569997651622</v>
      </c>
      <c r="E479" s="869" t="s">
        <v>1620</v>
      </c>
      <c r="F479" s="872">
        <f>'[1]PLAN DE DESARROLLO 2024 - 2027'!$K$37</f>
        <v>0.13305328807981076</v>
      </c>
      <c r="G479" s="869" t="s">
        <v>310</v>
      </c>
      <c r="H479" s="869" t="s">
        <v>2178</v>
      </c>
      <c r="I479" s="901">
        <f>+'Seguridad Humana'!Z182</f>
        <v>0.311</v>
      </c>
      <c r="J479" s="869" t="s">
        <v>297</v>
      </c>
      <c r="K479" s="873" t="s">
        <v>2004</v>
      </c>
      <c r="P479"/>
    </row>
    <row r="480" spans="1:16" ht="29.4" thickBot="1" x14ac:dyDescent="0.35">
      <c r="A480" s="869" t="s">
        <v>2151</v>
      </c>
      <c r="B480" s="872">
        <f>'[1]PLAN DE DESARROLLO 2024 - 2027'!$K$4</f>
        <v>0.29293663727866731</v>
      </c>
      <c r="C480" s="869" t="s">
        <v>2153</v>
      </c>
      <c r="D480" s="872">
        <f>'[1]PLAN DE DESARROLLO 2024 - 2027'!$K$34</f>
        <v>0.2143569997651622</v>
      </c>
      <c r="E480" s="869" t="s">
        <v>1620</v>
      </c>
      <c r="F480" s="872">
        <f>'[1]PLAN DE DESARROLLO 2024 - 2027'!$K$37</f>
        <v>0.13305328807981076</v>
      </c>
      <c r="G480" s="869" t="s">
        <v>312</v>
      </c>
      <c r="H480" s="869" t="s">
        <v>313</v>
      </c>
      <c r="I480" s="901">
        <f>+'Seguridad Humana'!Z183</f>
        <v>0.56000000000000005</v>
      </c>
      <c r="J480" s="869" t="s">
        <v>297</v>
      </c>
      <c r="K480" s="873" t="s">
        <v>2004</v>
      </c>
      <c r="P480"/>
    </row>
    <row r="481" spans="1:16" ht="29.4" thickBot="1" x14ac:dyDescent="0.35">
      <c r="A481" s="869" t="s">
        <v>2151</v>
      </c>
      <c r="B481" s="872">
        <f>'[1]PLAN DE DESARROLLO 2024 - 2027'!$K$4</f>
        <v>0.29293663727866731</v>
      </c>
      <c r="C481" s="869" t="s">
        <v>2153</v>
      </c>
      <c r="D481" s="872">
        <f>'[1]PLAN DE DESARROLLO 2024 - 2027'!$K$34</f>
        <v>0.2143569997651622</v>
      </c>
      <c r="E481" s="869" t="s">
        <v>1622</v>
      </c>
      <c r="F481" s="872">
        <f>'[1]PLAN DE DESARROLLO 2024 - 2027'!$K$39</f>
        <v>0.20016200657894737</v>
      </c>
      <c r="G481" s="869" t="s">
        <v>316</v>
      </c>
      <c r="H481" s="869" t="s">
        <v>317</v>
      </c>
      <c r="I481" s="901">
        <f>+'Seguridad Humana'!Z187</f>
        <v>0.387125</v>
      </c>
      <c r="J481" s="869" t="s">
        <v>297</v>
      </c>
      <c r="K481" s="873" t="s">
        <v>2004</v>
      </c>
      <c r="P481"/>
    </row>
    <row r="482" spans="1:16" ht="29.4" thickBot="1" x14ac:dyDescent="0.35">
      <c r="A482" s="869" t="s">
        <v>2151</v>
      </c>
      <c r="B482" s="872">
        <f>'[1]PLAN DE DESARROLLO 2024 - 2027'!$K$4</f>
        <v>0.29293663727866731</v>
      </c>
      <c r="C482" s="869" t="s">
        <v>2153</v>
      </c>
      <c r="D482" s="872">
        <f>'[1]PLAN DE DESARROLLO 2024 - 2027'!$K$34</f>
        <v>0.2143569997651622</v>
      </c>
      <c r="E482" s="869" t="s">
        <v>1622</v>
      </c>
      <c r="F482" s="872">
        <f>'[1]PLAN DE DESARROLLO 2024 - 2027'!$K$39</f>
        <v>0.20016200657894737</v>
      </c>
      <c r="G482" s="869" t="s">
        <v>318</v>
      </c>
      <c r="H482" s="869" t="s">
        <v>319</v>
      </c>
      <c r="I482" s="902">
        <f>+'Seguridad Humana'!Z188</f>
        <v>1</v>
      </c>
      <c r="J482" s="869" t="s">
        <v>297</v>
      </c>
      <c r="K482" s="873" t="s">
        <v>2004</v>
      </c>
      <c r="P482"/>
    </row>
    <row r="483" spans="1:16" ht="29.4" thickBot="1" x14ac:dyDescent="0.35">
      <c r="A483" s="869" t="s">
        <v>2151</v>
      </c>
      <c r="B483" s="872">
        <f>'[1]PLAN DE DESARROLLO 2024 - 2027'!$K$4</f>
        <v>0.29293663727866731</v>
      </c>
      <c r="C483" s="869" t="s">
        <v>2153</v>
      </c>
      <c r="D483" s="872">
        <f>'[1]PLAN DE DESARROLLO 2024 - 2027'!$K$34</f>
        <v>0.2143569997651622</v>
      </c>
      <c r="E483" s="869" t="s">
        <v>1622</v>
      </c>
      <c r="F483" s="872">
        <f>'[1]PLAN DE DESARROLLO 2024 - 2027'!$K$39</f>
        <v>0.20016200657894737</v>
      </c>
      <c r="G483" s="869" t="s">
        <v>320</v>
      </c>
      <c r="H483" s="869" t="s">
        <v>321</v>
      </c>
      <c r="I483" s="901">
        <f>+'Seguridad Humana'!Z189</f>
        <v>0.46078947368421053</v>
      </c>
      <c r="J483" s="869" t="s">
        <v>297</v>
      </c>
      <c r="K483" s="873" t="s">
        <v>2004</v>
      </c>
      <c r="P483"/>
    </row>
    <row r="484" spans="1:16" ht="29.4" thickBot="1" x14ac:dyDescent="0.35">
      <c r="A484" s="869" t="s">
        <v>2151</v>
      </c>
      <c r="B484" s="872">
        <f>'[1]PLAN DE DESARROLLO 2024 - 2027'!$K$4</f>
        <v>0.29293663727866731</v>
      </c>
      <c r="C484" s="869" t="s">
        <v>2153</v>
      </c>
      <c r="D484" s="872">
        <f>'[1]PLAN DE DESARROLLO 2024 - 2027'!$K$34</f>
        <v>0.2143569997651622</v>
      </c>
      <c r="E484" s="869" t="s">
        <v>1622</v>
      </c>
      <c r="F484" s="872">
        <f>'[1]PLAN DE DESARROLLO 2024 - 2027'!$K$39</f>
        <v>0.20016200657894737</v>
      </c>
      <c r="G484" s="869" t="s">
        <v>322</v>
      </c>
      <c r="H484" s="869" t="s">
        <v>323</v>
      </c>
      <c r="I484" s="901">
        <f>+'Seguridad Humana'!Z190</f>
        <v>0.63749999999999996</v>
      </c>
      <c r="J484" s="869" t="s">
        <v>297</v>
      </c>
      <c r="K484" s="873" t="s">
        <v>2004</v>
      </c>
      <c r="P484"/>
    </row>
    <row r="485" spans="1:16" ht="29.4" thickBot="1" x14ac:dyDescent="0.35">
      <c r="A485" s="869" t="s">
        <v>2151</v>
      </c>
      <c r="B485" s="872">
        <f>'[1]PLAN DE DESARROLLO 2024 - 2027'!$K$4</f>
        <v>0.29293663727866731</v>
      </c>
      <c r="C485" s="869" t="s">
        <v>2153</v>
      </c>
      <c r="D485" s="872">
        <f>'[1]PLAN DE DESARROLLO 2024 - 2027'!$K$34</f>
        <v>0.2143569997651622</v>
      </c>
      <c r="E485" s="869" t="s">
        <v>1622</v>
      </c>
      <c r="F485" s="872">
        <f>'[1]PLAN DE DESARROLLO 2024 - 2027'!$K$39</f>
        <v>0.20016200657894737</v>
      </c>
      <c r="G485" s="869" t="s">
        <v>324</v>
      </c>
      <c r="H485" s="869" t="s">
        <v>325</v>
      </c>
      <c r="I485" s="901">
        <f>+'Seguridad Humana'!Z191</f>
        <v>0.42843750000000003</v>
      </c>
      <c r="J485" s="869" t="s">
        <v>297</v>
      </c>
      <c r="K485" s="873" t="s">
        <v>2004</v>
      </c>
      <c r="P485"/>
    </row>
    <row r="486" spans="1:16" ht="29.4" thickBot="1" x14ac:dyDescent="0.35">
      <c r="A486" s="869" t="s">
        <v>2151</v>
      </c>
      <c r="B486" s="872">
        <f>'[1]PLAN DE DESARROLLO 2024 - 2027'!$K$4</f>
        <v>0.29293663727866731</v>
      </c>
      <c r="C486" s="869" t="s">
        <v>2153</v>
      </c>
      <c r="D486" s="872">
        <f>'[1]PLAN DE DESARROLLO 2024 - 2027'!$K$34</f>
        <v>0.2143569997651622</v>
      </c>
      <c r="E486" s="869" t="s">
        <v>2179</v>
      </c>
      <c r="F486" s="872">
        <f>'[1]PLAN DE DESARROLLO 2024 - 2027'!$K$40</f>
        <v>2.3449999999999999E-2</v>
      </c>
      <c r="G486" s="869" t="s">
        <v>326</v>
      </c>
      <c r="H486" s="869" t="s">
        <v>327</v>
      </c>
      <c r="I486" s="901">
        <f>+'Seguridad Humana'!Z193</f>
        <v>8.1449999999999995E-2</v>
      </c>
      <c r="J486" s="869" t="s">
        <v>297</v>
      </c>
      <c r="K486" s="873" t="s">
        <v>2004</v>
      </c>
      <c r="P486"/>
    </row>
    <row r="487" spans="1:16" ht="29.4" thickBot="1" x14ac:dyDescent="0.35">
      <c r="A487" s="869" t="s">
        <v>2151</v>
      </c>
      <c r="B487" s="872">
        <f>'[1]PLAN DE DESARROLLO 2024 - 2027'!$K$4</f>
        <v>0.29293663727866731</v>
      </c>
      <c r="C487" s="869" t="s">
        <v>2153</v>
      </c>
      <c r="D487" s="872">
        <f>'[1]PLAN DE DESARROLLO 2024 - 2027'!$K$34</f>
        <v>0.2143569997651622</v>
      </c>
      <c r="E487" s="869" t="s">
        <v>2179</v>
      </c>
      <c r="F487" s="872">
        <f>'[1]PLAN DE DESARROLLO 2024 - 2027'!$K$40</f>
        <v>2.3449999999999999E-2</v>
      </c>
      <c r="G487" s="869" t="s">
        <v>328</v>
      </c>
      <c r="H487" s="869" t="s">
        <v>329</v>
      </c>
      <c r="I487" s="902">
        <f>+'Seguridad Humana'!Z194</f>
        <v>8.8666666666666671E-2</v>
      </c>
      <c r="J487" s="869" t="s">
        <v>297</v>
      </c>
      <c r="K487" s="873" t="s">
        <v>2004</v>
      </c>
      <c r="P487"/>
    </row>
    <row r="488" spans="1:16" ht="29.4" thickBot="1" x14ac:dyDescent="0.35">
      <c r="A488" s="869" t="s">
        <v>2151</v>
      </c>
      <c r="B488" s="872">
        <f>'[1]PLAN DE DESARROLLO 2024 - 2027'!$K$4</f>
        <v>0.29293663727866731</v>
      </c>
      <c r="C488" s="869" t="s">
        <v>2153</v>
      </c>
      <c r="D488" s="872">
        <f>'[1]PLAN DE DESARROLLO 2024 - 2027'!$K$34</f>
        <v>0.2143569997651622</v>
      </c>
      <c r="E488" s="869" t="s">
        <v>2180</v>
      </c>
      <c r="F488" s="872">
        <f>'[1]PLAN DE DESARROLLO 2024 - 2027'!$K$41</f>
        <v>0.32221001221001222</v>
      </c>
      <c r="G488" s="869" t="s">
        <v>330</v>
      </c>
      <c r="H488" s="869" t="s">
        <v>331</v>
      </c>
      <c r="I488" s="901">
        <f>+'Seguridad Humana'!Z196</f>
        <v>0.79120879120879117</v>
      </c>
      <c r="J488" s="869" t="s">
        <v>297</v>
      </c>
      <c r="K488" s="873" t="s">
        <v>2004</v>
      </c>
      <c r="P488"/>
    </row>
    <row r="489" spans="1:16" ht="29.4" thickBot="1" x14ac:dyDescent="0.35">
      <c r="A489" s="869" t="s">
        <v>2151</v>
      </c>
      <c r="B489" s="872">
        <f>'[1]PLAN DE DESARROLLO 2024 - 2027'!$K$4</f>
        <v>0.29293663727866731</v>
      </c>
      <c r="C489" s="869" t="s">
        <v>2153</v>
      </c>
      <c r="D489" s="872">
        <f>'[1]PLAN DE DESARROLLO 2024 - 2027'!$K$34</f>
        <v>0.2143569997651622</v>
      </c>
      <c r="E489" s="869" t="s">
        <v>2180</v>
      </c>
      <c r="F489" s="872">
        <f>'[1]PLAN DE DESARROLLO 2024 - 2027'!$K$41</f>
        <v>0.32221001221001222</v>
      </c>
      <c r="G489" s="869" t="s">
        <v>332</v>
      </c>
      <c r="H489" s="869" t="s">
        <v>333</v>
      </c>
      <c r="I489" s="901">
        <f>+'Seguridad Humana'!Z197</f>
        <v>0.5</v>
      </c>
      <c r="J489" s="869" t="s">
        <v>297</v>
      </c>
      <c r="K489" s="873" t="s">
        <v>2004</v>
      </c>
      <c r="P489"/>
    </row>
    <row r="490" spans="1:16" ht="43.8" thickBot="1" x14ac:dyDescent="0.35">
      <c r="A490" s="869" t="s">
        <v>2151</v>
      </c>
      <c r="B490" s="872">
        <f>'[1]PLAN DE DESARROLLO 2024 - 2027'!$K$4</f>
        <v>0.29293663727866731</v>
      </c>
      <c r="C490" s="869" t="s">
        <v>2153</v>
      </c>
      <c r="D490" s="872">
        <f>'[1]PLAN DE DESARROLLO 2024 - 2027'!$K$34</f>
        <v>0.2143569997651622</v>
      </c>
      <c r="E490" s="869" t="s">
        <v>2180</v>
      </c>
      <c r="F490" s="872">
        <f>'[1]PLAN DE DESARROLLO 2024 - 2027'!$K$41</f>
        <v>0.32221001221001222</v>
      </c>
      <c r="G490" s="869" t="s">
        <v>334</v>
      </c>
      <c r="H490" s="869" t="s">
        <v>335</v>
      </c>
      <c r="I490" s="901">
        <f>+'Seguridad Humana'!Z198</f>
        <v>0.47333333333333333</v>
      </c>
      <c r="J490" s="869" t="s">
        <v>297</v>
      </c>
      <c r="K490" s="873" t="s">
        <v>2004</v>
      </c>
      <c r="P490"/>
    </row>
    <row r="491" spans="1:16" ht="29.4" thickBot="1" x14ac:dyDescent="0.35">
      <c r="A491" s="869" t="s">
        <v>2151</v>
      </c>
      <c r="B491" s="872">
        <f>'[1]PLAN DE DESARROLLO 2024 - 2027'!$K$4</f>
        <v>0.29293663727866731</v>
      </c>
      <c r="C491" s="869" t="s">
        <v>2153</v>
      </c>
      <c r="D491" s="872">
        <f>'[1]PLAN DE DESARROLLO 2024 - 2027'!$K$34</f>
        <v>0.2143569997651622</v>
      </c>
      <c r="E491" s="869" t="s">
        <v>2181</v>
      </c>
      <c r="F491" s="872">
        <f>'[1]PLAN DE DESARROLLO 2024 - 2027'!$K$42</f>
        <v>0.25741666666666668</v>
      </c>
      <c r="G491" s="869" t="s">
        <v>336</v>
      </c>
      <c r="H491" s="869" t="s">
        <v>337</v>
      </c>
      <c r="I491" s="901">
        <f>+'Seguridad Humana'!Z200</f>
        <v>0.70150000000000001</v>
      </c>
      <c r="J491" s="869" t="s">
        <v>297</v>
      </c>
      <c r="K491" s="873" t="s">
        <v>2004</v>
      </c>
      <c r="P491"/>
    </row>
    <row r="492" spans="1:16" ht="29.4" thickBot="1" x14ac:dyDescent="0.35">
      <c r="A492" s="869" t="s">
        <v>2151</v>
      </c>
      <c r="B492" s="872">
        <f>'[1]PLAN DE DESARROLLO 2024 - 2027'!$K$4</f>
        <v>0.29293663727866731</v>
      </c>
      <c r="C492" s="869" t="s">
        <v>2153</v>
      </c>
      <c r="D492" s="872">
        <f>'[1]PLAN DE DESARROLLO 2024 - 2027'!$K$34</f>
        <v>0.2143569997651622</v>
      </c>
      <c r="E492" s="869" t="s">
        <v>2181</v>
      </c>
      <c r="F492" s="872">
        <f>'[1]PLAN DE DESARROLLO 2024 - 2027'!$K$42</f>
        <v>0.25741666666666668</v>
      </c>
      <c r="G492" s="869" t="s">
        <v>338</v>
      </c>
      <c r="H492" s="869" t="s">
        <v>339</v>
      </c>
      <c r="I492" s="901">
        <f>+'Seguridad Humana'!Z201</f>
        <v>0.29166666666666669</v>
      </c>
      <c r="J492" s="869" t="s">
        <v>297</v>
      </c>
      <c r="K492" s="873" t="s">
        <v>2004</v>
      </c>
      <c r="P492"/>
    </row>
    <row r="493" spans="1:16" ht="29.4" thickBot="1" x14ac:dyDescent="0.35">
      <c r="A493" s="869" t="s">
        <v>2151</v>
      </c>
      <c r="B493" s="872">
        <f>'[1]PLAN DE DESARROLLO 2024 - 2027'!$K$4</f>
        <v>0.29293663727866731</v>
      </c>
      <c r="C493" s="869" t="s">
        <v>2153</v>
      </c>
      <c r="D493" s="872">
        <f>'[1]PLAN DE DESARROLLO 2024 - 2027'!$K$34</f>
        <v>0.2143569997651622</v>
      </c>
      <c r="E493" s="869" t="s">
        <v>2181</v>
      </c>
      <c r="F493" s="872">
        <f>'[1]PLAN DE DESARROLLO 2024 - 2027'!$K$42</f>
        <v>0.25741666666666668</v>
      </c>
      <c r="G493" s="869" t="s">
        <v>340</v>
      </c>
      <c r="H493" s="869" t="s">
        <v>341</v>
      </c>
      <c r="I493" s="902">
        <f>+'Seguridad Humana'!Z202</f>
        <v>0.2627450980392157</v>
      </c>
      <c r="J493" s="869" t="s">
        <v>297</v>
      </c>
      <c r="K493" s="873" t="s">
        <v>2004</v>
      </c>
      <c r="P493"/>
    </row>
    <row r="494" spans="1:16" ht="43.8" thickBot="1" x14ac:dyDescent="0.35">
      <c r="A494" s="869" t="s">
        <v>2151</v>
      </c>
      <c r="B494" s="872">
        <f>'[1]PLAN DE DESARROLLO 2024 - 2027'!$K$4</f>
        <v>0.29293663727866731</v>
      </c>
      <c r="C494" s="869" t="s">
        <v>2153</v>
      </c>
      <c r="D494" s="872">
        <f>'[1]PLAN DE DESARROLLO 2024 - 2027'!$K$34</f>
        <v>0.2143569997651622</v>
      </c>
      <c r="E494" s="869" t="s">
        <v>1626</v>
      </c>
      <c r="F494" s="872">
        <f>'[1]PLAN DE DESARROLLO 2024 - 2027'!$K$43</f>
        <v>0.33088235294117646</v>
      </c>
      <c r="G494" s="869" t="s">
        <v>342</v>
      </c>
      <c r="H494" s="869" t="s">
        <v>343</v>
      </c>
      <c r="I494" s="901">
        <f>+'Seguridad Humana'!Z204</f>
        <v>0.6470588235294118</v>
      </c>
      <c r="J494" s="869" t="s">
        <v>297</v>
      </c>
      <c r="K494" s="873" t="s">
        <v>2004</v>
      </c>
      <c r="P494"/>
    </row>
    <row r="495" spans="1:16" ht="29.4" thickBot="1" x14ac:dyDescent="0.35">
      <c r="A495" s="869" t="s">
        <v>2151</v>
      </c>
      <c r="B495" s="872">
        <f>'[1]PLAN DE DESARROLLO 2024 - 2027'!$K$4</f>
        <v>0.29293663727866731</v>
      </c>
      <c r="C495" s="869" t="s">
        <v>2153</v>
      </c>
      <c r="D495" s="872">
        <f>'[1]PLAN DE DESARROLLO 2024 - 2027'!$K$34</f>
        <v>0.2143569997651622</v>
      </c>
      <c r="E495" s="869" t="s">
        <v>1626</v>
      </c>
      <c r="F495" s="872">
        <f>'[1]PLAN DE DESARROLLO 2024 - 2027'!$K$43</f>
        <v>0.33088235294117646</v>
      </c>
      <c r="G495" s="869" t="s">
        <v>344</v>
      </c>
      <c r="H495" s="869" t="s">
        <v>345</v>
      </c>
      <c r="I495" s="901">
        <f>+'Seguridad Humana'!Z205</f>
        <v>0.5</v>
      </c>
      <c r="J495" s="869" t="s">
        <v>297</v>
      </c>
      <c r="K495" s="873" t="s">
        <v>2004</v>
      </c>
      <c r="P495"/>
    </row>
    <row r="496" spans="1:16" ht="29.4" thickBot="1" x14ac:dyDescent="0.35">
      <c r="A496" s="869" t="s">
        <v>2151</v>
      </c>
      <c r="B496" s="872">
        <f>'[1]PLAN DE DESARROLLO 2024 - 2027'!$K$4</f>
        <v>0.29293663727866731</v>
      </c>
      <c r="C496" s="869" t="s">
        <v>2153</v>
      </c>
      <c r="D496" s="872">
        <f>'[1]PLAN DE DESARROLLO 2024 - 2027'!$K$34</f>
        <v>0.2143569997651622</v>
      </c>
      <c r="E496" s="869" t="s">
        <v>2182</v>
      </c>
      <c r="F496" s="872">
        <f>'[1]PLAN DE DESARROLLO 2024 - 2027'!$K$44</f>
        <v>0.15972222222222221</v>
      </c>
      <c r="G496" s="869" t="s">
        <v>346</v>
      </c>
      <c r="H496" s="869" t="s">
        <v>347</v>
      </c>
      <c r="I496" s="901">
        <f>+'Seguridad Humana'!Z207</f>
        <v>0.43333333333333335</v>
      </c>
      <c r="J496" s="869" t="s">
        <v>297</v>
      </c>
      <c r="K496" s="873" t="s">
        <v>2004</v>
      </c>
      <c r="P496"/>
    </row>
    <row r="497" spans="1:16" ht="29.4" thickBot="1" x14ac:dyDescent="0.35">
      <c r="A497" s="869" t="s">
        <v>2151</v>
      </c>
      <c r="B497" s="872">
        <f>'[1]PLAN DE DESARROLLO 2024 - 2027'!$K$4</f>
        <v>0.29293663727866731</v>
      </c>
      <c r="C497" s="869" t="s">
        <v>2153</v>
      </c>
      <c r="D497" s="872">
        <f>'[1]PLAN DE DESARROLLO 2024 - 2027'!$K$34</f>
        <v>0.2143569997651622</v>
      </c>
      <c r="E497" s="869" t="s">
        <v>2182</v>
      </c>
      <c r="F497" s="872">
        <f>'[1]PLAN DE DESARROLLO 2024 - 2027'!$K$44</f>
        <v>0.15972222222222221</v>
      </c>
      <c r="G497" s="869" t="s">
        <v>348</v>
      </c>
      <c r="H497" s="869" t="s">
        <v>349</v>
      </c>
      <c r="I497" s="901">
        <f>+'Seguridad Humana'!Z208</f>
        <v>0.73611111111111116</v>
      </c>
      <c r="J497" s="869" t="s">
        <v>297</v>
      </c>
      <c r="K497" s="873" t="s">
        <v>2004</v>
      </c>
      <c r="P497"/>
    </row>
    <row r="498" spans="1:16" ht="43.8" thickBot="1" x14ac:dyDescent="0.35">
      <c r="A498" s="869" t="s">
        <v>2151</v>
      </c>
      <c r="B498" s="872">
        <f>'[1]PLAN DE DESARROLLO 2024 - 2027'!$K$4</f>
        <v>0.29293663727866731</v>
      </c>
      <c r="C498" s="869" t="s">
        <v>2153</v>
      </c>
      <c r="D498" s="872">
        <f>'[1]PLAN DE DESARROLLO 2024 - 2027'!$K$34</f>
        <v>0.2143569997651622</v>
      </c>
      <c r="E498" s="869" t="s">
        <v>2183</v>
      </c>
      <c r="F498" s="872">
        <f>'[1]PLAN DE DESARROLLO 2024 - 2027'!$K$45</f>
        <v>0.24038461538461539</v>
      </c>
      <c r="G498" s="869" t="s">
        <v>350</v>
      </c>
      <c r="H498" s="869" t="s">
        <v>351</v>
      </c>
      <c r="I498" s="901">
        <f>+'Seguridad Humana'!Z210</f>
        <v>1</v>
      </c>
      <c r="J498" s="869" t="s">
        <v>516</v>
      </c>
      <c r="K498" s="873" t="s">
        <v>2004</v>
      </c>
      <c r="P498"/>
    </row>
    <row r="499" spans="1:16" ht="43.8" thickBot="1" x14ac:dyDescent="0.35">
      <c r="A499" s="869" t="s">
        <v>2151</v>
      </c>
      <c r="B499" s="872">
        <f>'[1]PLAN DE DESARROLLO 2024 - 2027'!$K$4</f>
        <v>0.29293663727866731</v>
      </c>
      <c r="C499" s="869" t="s">
        <v>2153</v>
      </c>
      <c r="D499" s="872">
        <f>'[1]PLAN DE DESARROLLO 2024 - 2027'!$K$34</f>
        <v>0.2143569997651622</v>
      </c>
      <c r="E499" s="869" t="s">
        <v>2183</v>
      </c>
      <c r="F499" s="872">
        <f>'[1]PLAN DE DESARROLLO 2024 - 2027'!$K$45</f>
        <v>0.24038461538461539</v>
      </c>
      <c r="G499" s="869" t="s">
        <v>353</v>
      </c>
      <c r="H499" s="869" t="s">
        <v>354</v>
      </c>
      <c r="I499" s="901">
        <f>+'Seguridad Humana'!Z211</f>
        <v>0.52083333333333337</v>
      </c>
      <c r="J499" s="869" t="s">
        <v>516</v>
      </c>
      <c r="K499" s="873" t="s">
        <v>2004</v>
      </c>
      <c r="P499"/>
    </row>
    <row r="500" spans="1:16" ht="43.8" thickBot="1" x14ac:dyDescent="0.35">
      <c r="A500" s="869" t="s">
        <v>2151</v>
      </c>
      <c r="B500" s="872">
        <f>'[1]PLAN DE DESARROLLO 2024 - 2027'!$K$4</f>
        <v>0.29293663727866731</v>
      </c>
      <c r="C500" s="869" t="s">
        <v>2184</v>
      </c>
      <c r="D500" s="872">
        <f>'[1]PLAN DE DESARROLLO 2024 - 2027'!$K$5</f>
        <v>0.43173821655610001</v>
      </c>
      <c r="E500" s="869" t="s">
        <v>2185</v>
      </c>
      <c r="F500" s="872">
        <f>'[1]PLAN DE DESARROLLO 2024 - 2027'!$K$6</f>
        <v>0.35</v>
      </c>
      <c r="G500" s="869" t="s">
        <v>10</v>
      </c>
      <c r="H500" s="869" t="s">
        <v>11</v>
      </c>
      <c r="I500" s="901">
        <f>+'Seguridad Humana'!Z6</f>
        <v>1</v>
      </c>
      <c r="J500" s="869" t="s">
        <v>2186</v>
      </c>
      <c r="K500" s="873" t="s">
        <v>2004</v>
      </c>
    </row>
    <row r="501" spans="1:16" ht="29.4" thickBot="1" x14ac:dyDescent="0.35">
      <c r="A501" s="869" t="s">
        <v>2151</v>
      </c>
      <c r="B501" s="872">
        <f>'[1]PLAN DE DESARROLLO 2024 - 2027'!$K$4</f>
        <v>0.29293663727866731</v>
      </c>
      <c r="C501" s="869" t="s">
        <v>2184</v>
      </c>
      <c r="D501" s="872">
        <f>'[1]PLAN DE DESARROLLO 2024 - 2027'!$K$5</f>
        <v>0.43173821655610001</v>
      </c>
      <c r="E501" s="869" t="s">
        <v>2185</v>
      </c>
      <c r="F501" s="872">
        <f>'[1]PLAN DE DESARROLLO 2024 - 2027'!$K$6</f>
        <v>0.35</v>
      </c>
      <c r="G501" s="869" t="s">
        <v>2187</v>
      </c>
      <c r="H501" s="869" t="s">
        <v>2188</v>
      </c>
      <c r="I501" s="901">
        <f>+'Seguridad Humana'!Z7</f>
        <v>0.5</v>
      </c>
      <c r="J501" s="869" t="s">
        <v>2189</v>
      </c>
      <c r="K501" s="873" t="s">
        <v>2004</v>
      </c>
    </row>
    <row r="502" spans="1:16" ht="29.4" thickBot="1" x14ac:dyDescent="0.35">
      <c r="A502" s="869" t="s">
        <v>2151</v>
      </c>
      <c r="B502" s="872">
        <f>'[1]PLAN DE DESARROLLO 2024 - 2027'!$K$4</f>
        <v>0.29293663727866731</v>
      </c>
      <c r="C502" s="869" t="s">
        <v>2184</v>
      </c>
      <c r="D502" s="872">
        <f>'[1]PLAN DE DESARROLLO 2024 - 2027'!$K$5</f>
        <v>0.43173821655610001</v>
      </c>
      <c r="E502" s="869" t="s">
        <v>2185</v>
      </c>
      <c r="F502" s="872">
        <f>'[1]PLAN DE DESARROLLO 2024 - 2027'!$K$6</f>
        <v>0.35</v>
      </c>
      <c r="G502" s="869" t="s">
        <v>2190</v>
      </c>
      <c r="H502" s="869" t="s">
        <v>16</v>
      </c>
      <c r="I502" s="901">
        <f>+'Seguridad Humana'!Z8</f>
        <v>0.5</v>
      </c>
      <c r="J502" s="869" t="s">
        <v>12</v>
      </c>
      <c r="K502" s="873" t="s">
        <v>2004</v>
      </c>
    </row>
    <row r="503" spans="1:16" ht="48.6" customHeight="1" thickBot="1" x14ac:dyDescent="0.35">
      <c r="A503" s="869" t="s">
        <v>2151</v>
      </c>
      <c r="B503" s="872">
        <f>'[1]PLAN DE DESARROLLO 2024 - 2027'!$K$4</f>
        <v>0.29293663727866731</v>
      </c>
      <c r="C503" s="869" t="s">
        <v>2184</v>
      </c>
      <c r="D503" s="872">
        <f>'[1]PLAN DE DESARROLLO 2024 - 2027'!$K$5</f>
        <v>0.43173821655610001</v>
      </c>
      <c r="E503" s="869" t="s">
        <v>2185</v>
      </c>
      <c r="F503" s="872">
        <f>'[1]PLAN DE DESARROLLO 2024 - 2027'!$K$6</f>
        <v>0.35</v>
      </c>
      <c r="G503" s="869" t="s">
        <v>17</v>
      </c>
      <c r="H503" s="869" t="s">
        <v>18</v>
      </c>
      <c r="I503" s="901">
        <f>+'Seguridad Humana'!Z9</f>
        <v>0</v>
      </c>
      <c r="J503" s="869" t="s">
        <v>2191</v>
      </c>
      <c r="K503" s="873" t="s">
        <v>2004</v>
      </c>
    </row>
    <row r="504" spans="1:16" ht="33" customHeight="1" thickBot="1" x14ac:dyDescent="0.35">
      <c r="A504" s="869" t="s">
        <v>2151</v>
      </c>
      <c r="B504" s="872">
        <f>'[1]PLAN DE DESARROLLO 2024 - 2027'!$K$4</f>
        <v>0.29293663727866731</v>
      </c>
      <c r="C504" s="869" t="s">
        <v>2184</v>
      </c>
      <c r="D504" s="872">
        <f>'[1]PLAN DE DESARROLLO 2024 - 2027'!$K$5</f>
        <v>0.43173821655610001</v>
      </c>
      <c r="E504" s="869" t="s">
        <v>2185</v>
      </c>
      <c r="F504" s="872">
        <f>'[1]PLAN DE DESARROLLO 2024 - 2027'!$K$6</f>
        <v>0.35</v>
      </c>
      <c r="G504" s="869" t="s">
        <v>2192</v>
      </c>
      <c r="H504" s="869" t="s">
        <v>2193</v>
      </c>
      <c r="I504" s="902">
        <f>+'Seguridad Humana'!Z10</f>
        <v>0</v>
      </c>
      <c r="J504" s="869" t="s">
        <v>12</v>
      </c>
      <c r="K504" s="873" t="s">
        <v>2004</v>
      </c>
    </row>
    <row r="505" spans="1:16" ht="45.6" customHeight="1" thickBot="1" x14ac:dyDescent="0.35">
      <c r="A505" s="869" t="s">
        <v>2151</v>
      </c>
      <c r="B505" s="872">
        <f>'[1]PLAN DE DESARROLLO 2024 - 2027'!$K$4</f>
        <v>0.29293663727866731</v>
      </c>
      <c r="C505" s="869" t="s">
        <v>2184</v>
      </c>
      <c r="D505" s="872">
        <f>'[1]PLAN DE DESARROLLO 2024 - 2027'!$K$5</f>
        <v>0.43173821655610001</v>
      </c>
      <c r="E505" s="869" t="s">
        <v>2185</v>
      </c>
      <c r="F505" s="872">
        <f>'[1]PLAN DE DESARROLLO 2024 - 2027'!$K$6</f>
        <v>0.35</v>
      </c>
      <c r="G505" s="869" t="s">
        <v>21</v>
      </c>
      <c r="H505" s="869" t="s">
        <v>22</v>
      </c>
      <c r="I505" s="901">
        <f>+'Seguridad Humana'!Z11</f>
        <v>0.05</v>
      </c>
      <c r="J505" s="869" t="s">
        <v>2194</v>
      </c>
      <c r="K505" s="873" t="s">
        <v>2004</v>
      </c>
    </row>
    <row r="506" spans="1:16" ht="24" customHeight="1" thickBot="1" x14ac:dyDescent="0.35">
      <c r="A506" s="869" t="s">
        <v>2151</v>
      </c>
      <c r="B506" s="872">
        <f>'[1]PLAN DE DESARROLLO 2024 - 2027'!$K$4</f>
        <v>0.29293663727866731</v>
      </c>
      <c r="C506" s="869" t="s">
        <v>2184</v>
      </c>
      <c r="D506" s="872">
        <f>'[1]PLAN DE DESARROLLO 2024 - 2027'!$K$5</f>
        <v>0.43173821655610001</v>
      </c>
      <c r="E506" s="869" t="s">
        <v>1594</v>
      </c>
      <c r="F506" s="872">
        <f>'[1]PLAN DE DESARROLLO 2024 - 2027'!$K$7</f>
        <v>0.66666666666666663</v>
      </c>
      <c r="G506" s="869" t="s">
        <v>23</v>
      </c>
      <c r="H506" s="869" t="s">
        <v>24</v>
      </c>
      <c r="I506" s="901">
        <f>+'Seguridad Humana'!Z13</f>
        <v>0</v>
      </c>
      <c r="J506" s="869" t="s">
        <v>12</v>
      </c>
      <c r="K506" s="873" t="s">
        <v>2004</v>
      </c>
    </row>
    <row r="507" spans="1:16" ht="20.399999999999999" customHeight="1" thickBot="1" x14ac:dyDescent="0.35">
      <c r="A507" s="869" t="s">
        <v>2151</v>
      </c>
      <c r="B507" s="872">
        <f>'[1]PLAN DE DESARROLLO 2024 - 2027'!$K$4</f>
        <v>0.29293663727866731</v>
      </c>
      <c r="C507" s="869" t="s">
        <v>2184</v>
      </c>
      <c r="D507" s="872">
        <f>'[1]PLAN DE DESARROLLO 2024 - 2027'!$K$5</f>
        <v>0.43173821655610001</v>
      </c>
      <c r="E507" s="869" t="s">
        <v>1594</v>
      </c>
      <c r="F507" s="872">
        <f>'[1]PLAN DE DESARROLLO 2024 - 2027'!$K$7</f>
        <v>0.66666666666666663</v>
      </c>
      <c r="G507" s="869" t="s">
        <v>25</v>
      </c>
      <c r="H507" s="869" t="s">
        <v>26</v>
      </c>
      <c r="I507" s="901">
        <f>+'Seguridad Humana'!Z14</f>
        <v>1</v>
      </c>
      <c r="J507" s="869" t="s">
        <v>12</v>
      </c>
      <c r="K507" s="873" t="s">
        <v>2004</v>
      </c>
    </row>
    <row r="508" spans="1:16" ht="29.4" thickBot="1" x14ac:dyDescent="0.35">
      <c r="A508" s="869" t="s">
        <v>2151</v>
      </c>
      <c r="B508" s="872">
        <f>'[1]PLAN DE DESARROLLO 2024 - 2027'!$K$4</f>
        <v>0.29293663727866731</v>
      </c>
      <c r="C508" s="869" t="s">
        <v>2184</v>
      </c>
      <c r="D508" s="872">
        <f>'[1]PLAN DE DESARROLLO 2024 - 2027'!$K$5</f>
        <v>0.43173821655610001</v>
      </c>
      <c r="E508" s="869" t="s">
        <v>1594</v>
      </c>
      <c r="F508" s="872">
        <f>'[1]PLAN DE DESARROLLO 2024 - 2027'!$K$7</f>
        <v>0.66666666666666663</v>
      </c>
      <c r="G508" s="869" t="s">
        <v>27</v>
      </c>
      <c r="H508" s="869" t="s">
        <v>28</v>
      </c>
      <c r="I508" s="901">
        <f>+'Seguridad Humana'!Z15</f>
        <v>1</v>
      </c>
      <c r="J508" s="869" t="s">
        <v>12</v>
      </c>
      <c r="K508" s="873" t="s">
        <v>2004</v>
      </c>
    </row>
    <row r="509" spans="1:16" ht="43.8" thickBot="1" x14ac:dyDescent="0.35">
      <c r="A509" s="869" t="s">
        <v>2151</v>
      </c>
      <c r="B509" s="872">
        <f>'[1]PLAN DE DESARROLLO 2024 - 2027'!$K$4</f>
        <v>0.29293663727866731</v>
      </c>
      <c r="C509" s="869" t="s">
        <v>2184</v>
      </c>
      <c r="D509" s="872">
        <f>'[1]PLAN DE DESARROLLO 2024 - 2027'!$K$5</f>
        <v>0.43173821655610001</v>
      </c>
      <c r="E509" s="869" t="s">
        <v>1595</v>
      </c>
      <c r="F509" s="872">
        <f>'[1]PLAN DE DESARROLLO 2024 - 2027'!$K$8</f>
        <v>0.25781052722494452</v>
      </c>
      <c r="G509" s="869" t="s">
        <v>29</v>
      </c>
      <c r="H509" s="869" t="s">
        <v>30</v>
      </c>
      <c r="I509" s="901">
        <f>+'Seguridad Humana'!Z17</f>
        <v>0.97383390216154719</v>
      </c>
      <c r="J509" s="869" t="s">
        <v>31</v>
      </c>
      <c r="K509" s="873" t="s">
        <v>2004</v>
      </c>
    </row>
    <row r="510" spans="1:16" ht="43.8" thickBot="1" x14ac:dyDescent="0.35">
      <c r="A510" s="869" t="s">
        <v>2151</v>
      </c>
      <c r="B510" s="872">
        <f>'[1]PLAN DE DESARROLLO 2024 - 2027'!$K$4</f>
        <v>0.29293663727866731</v>
      </c>
      <c r="C510" s="869" t="s">
        <v>2184</v>
      </c>
      <c r="D510" s="872">
        <f>'[1]PLAN DE DESARROLLO 2024 - 2027'!$K$5</f>
        <v>0.43173821655610001</v>
      </c>
      <c r="E510" s="869" t="s">
        <v>1595</v>
      </c>
      <c r="F510" s="872">
        <f>'[1]PLAN DE DESARROLLO 2024 - 2027'!$K$8</f>
        <v>0.25781052722494452</v>
      </c>
      <c r="G510" s="869" t="s">
        <v>32</v>
      </c>
      <c r="H510" s="869" t="s">
        <v>33</v>
      </c>
      <c r="I510" s="901">
        <f>+'Seguridad Humana'!Z18</f>
        <v>0.82803297997644287</v>
      </c>
      <c r="J510" s="869" t="s">
        <v>31</v>
      </c>
      <c r="K510" s="873" t="s">
        <v>2004</v>
      </c>
    </row>
    <row r="511" spans="1:16" ht="43.8" thickBot="1" x14ac:dyDescent="0.35">
      <c r="A511" s="869" t="s">
        <v>2151</v>
      </c>
      <c r="B511" s="872">
        <f>'[1]PLAN DE DESARROLLO 2024 - 2027'!$K$4</f>
        <v>0.29293663727866731</v>
      </c>
      <c r="C511" s="869" t="s">
        <v>2184</v>
      </c>
      <c r="D511" s="872">
        <f>'[1]PLAN DE DESARROLLO 2024 - 2027'!$K$5</f>
        <v>0.43173821655610001</v>
      </c>
      <c r="E511" s="869" t="s">
        <v>1595</v>
      </c>
      <c r="F511" s="872">
        <f>'[1]PLAN DE DESARROLLO 2024 - 2027'!$K$8</f>
        <v>0.25781052722494452</v>
      </c>
      <c r="G511" s="869" t="s">
        <v>34</v>
      </c>
      <c r="H511" s="869" t="s">
        <v>2195</v>
      </c>
      <c r="I511" s="901">
        <f>+'Seguridad Humana'!Z19</f>
        <v>0.43863636363636366</v>
      </c>
      <c r="J511" s="869" t="s">
        <v>31</v>
      </c>
      <c r="K511" s="873" t="s">
        <v>2004</v>
      </c>
    </row>
    <row r="512" spans="1:16" ht="43.8" thickBot="1" x14ac:dyDescent="0.35">
      <c r="A512" s="869" t="s">
        <v>2151</v>
      </c>
      <c r="B512" s="872">
        <f>'[1]PLAN DE DESARROLLO 2024 - 2027'!$K$4</f>
        <v>0.29293663727866731</v>
      </c>
      <c r="C512" s="869" t="s">
        <v>2184</v>
      </c>
      <c r="D512" s="872">
        <f>'[1]PLAN DE DESARROLLO 2024 - 2027'!$K$5</f>
        <v>0.43173821655610001</v>
      </c>
      <c r="E512" s="869" t="s">
        <v>1595</v>
      </c>
      <c r="F512" s="872">
        <f>'[1]PLAN DE DESARROLLO 2024 - 2027'!$K$8</f>
        <v>0.25781052722494452</v>
      </c>
      <c r="G512" s="869" t="s">
        <v>35</v>
      </c>
      <c r="H512" s="869" t="s">
        <v>2196</v>
      </c>
      <c r="I512" s="901">
        <f>+'Seguridad Humana'!Z20</f>
        <v>1</v>
      </c>
      <c r="J512" s="869" t="s">
        <v>31</v>
      </c>
      <c r="K512" s="873" t="s">
        <v>2004</v>
      </c>
    </row>
    <row r="513" spans="1:16" ht="43.8" thickBot="1" x14ac:dyDescent="0.35">
      <c r="A513" s="869" t="s">
        <v>2151</v>
      </c>
      <c r="B513" s="872">
        <f>'[1]PLAN DE DESARROLLO 2024 - 2027'!$K$4</f>
        <v>0.29293663727866731</v>
      </c>
      <c r="C513" s="869" t="s">
        <v>2184</v>
      </c>
      <c r="D513" s="872">
        <f>'[1]PLAN DE DESARROLLO 2024 - 2027'!$K$5</f>
        <v>0.43173821655610001</v>
      </c>
      <c r="E513" s="869" t="s">
        <v>1595</v>
      </c>
      <c r="F513" s="872">
        <f>'[1]PLAN DE DESARROLLO 2024 - 2027'!$K$8</f>
        <v>0.25781052722494452</v>
      </c>
      <c r="G513" s="869" t="s">
        <v>37</v>
      </c>
      <c r="H513" s="869" t="s">
        <v>2197</v>
      </c>
      <c r="I513" s="901">
        <f>+'Seguridad Humana'!Z21</f>
        <v>0</v>
      </c>
      <c r="J513" s="869" t="s">
        <v>31</v>
      </c>
      <c r="K513" s="873" t="s">
        <v>2004</v>
      </c>
    </row>
    <row r="514" spans="1:16" ht="43.8" thickBot="1" x14ac:dyDescent="0.35">
      <c r="A514" s="869" t="s">
        <v>2151</v>
      </c>
      <c r="B514" s="872">
        <f>'[1]PLAN DE DESARROLLO 2024 - 2027'!$K$4</f>
        <v>0.29293663727866731</v>
      </c>
      <c r="C514" s="869" t="s">
        <v>2184</v>
      </c>
      <c r="D514" s="872">
        <f>'[1]PLAN DE DESARROLLO 2024 - 2027'!$K$5</f>
        <v>0.43173821655610001</v>
      </c>
      <c r="E514" s="869" t="s">
        <v>1595</v>
      </c>
      <c r="F514" s="872">
        <f>'[1]PLAN DE DESARROLLO 2024 - 2027'!$K$8</f>
        <v>0.25781052722494452</v>
      </c>
      <c r="G514" s="869" t="s">
        <v>39</v>
      </c>
      <c r="H514" s="869" t="s">
        <v>40</v>
      </c>
      <c r="I514" s="901">
        <f>+'Seguridad Humana'!Z22</f>
        <v>1</v>
      </c>
      <c r="J514" s="869" t="s">
        <v>31</v>
      </c>
      <c r="K514" s="873" t="s">
        <v>2004</v>
      </c>
    </row>
    <row r="515" spans="1:16" ht="29.4" thickBot="1" x14ac:dyDescent="0.35">
      <c r="A515" s="869" t="s">
        <v>2151</v>
      </c>
      <c r="B515" s="872">
        <f>'[1]PLAN DE DESARROLLO 2024 - 2027'!$K$4</f>
        <v>0.29293663727866731</v>
      </c>
      <c r="C515" s="869" t="s">
        <v>2184</v>
      </c>
      <c r="D515" s="872">
        <f>'[1]PLAN DE DESARROLLO 2024 - 2027'!$K$5</f>
        <v>0.43173821655610001</v>
      </c>
      <c r="E515" s="869" t="s">
        <v>2198</v>
      </c>
      <c r="F515" s="872">
        <f>'[1]PLAN DE DESARROLLO 2024 - 2027'!$K$9</f>
        <v>0.625</v>
      </c>
      <c r="G515" s="869" t="s">
        <v>41</v>
      </c>
      <c r="H515" s="869" t="s">
        <v>42</v>
      </c>
      <c r="I515" s="901">
        <f>+'Seguridad Humana'!Z24</f>
        <v>0.5</v>
      </c>
      <c r="J515" s="869" t="s">
        <v>2199</v>
      </c>
      <c r="K515" s="873" t="s">
        <v>2004</v>
      </c>
    </row>
    <row r="516" spans="1:16" ht="29.4" thickBot="1" x14ac:dyDescent="0.35">
      <c r="A516" s="869" t="s">
        <v>2151</v>
      </c>
      <c r="B516" s="872">
        <f>'[1]PLAN DE DESARROLLO 2024 - 2027'!$K$4</f>
        <v>0.29293663727866731</v>
      </c>
      <c r="C516" s="869" t="s">
        <v>2184</v>
      </c>
      <c r="D516" s="872">
        <f>'[1]PLAN DE DESARROLLO 2024 - 2027'!$K$5</f>
        <v>0.43173821655610001</v>
      </c>
      <c r="E516" s="869" t="s">
        <v>2198</v>
      </c>
      <c r="F516" s="872">
        <f>'[1]PLAN DE DESARROLLO 2024 - 2027'!$K$9</f>
        <v>0.625</v>
      </c>
      <c r="G516" s="869" t="s">
        <v>44</v>
      </c>
      <c r="H516" s="869" t="s">
        <v>45</v>
      </c>
      <c r="I516" s="901">
        <f>+'Seguridad Humana'!Z25</f>
        <v>1</v>
      </c>
      <c r="J516" s="869" t="s">
        <v>2199</v>
      </c>
      <c r="K516" s="873" t="s">
        <v>2004</v>
      </c>
    </row>
    <row r="517" spans="1:16" ht="29.4" thickBot="1" x14ac:dyDescent="0.35">
      <c r="A517" s="869" t="s">
        <v>2151</v>
      </c>
      <c r="B517" s="872">
        <f>'[1]PLAN DE DESARROLLO 2024 - 2027'!$K$4</f>
        <v>0.29293663727866731</v>
      </c>
      <c r="C517" s="869" t="s">
        <v>2184</v>
      </c>
      <c r="D517" s="872">
        <f>'[1]PLAN DE DESARROLLO 2024 - 2027'!$K$5</f>
        <v>0.43173821655610001</v>
      </c>
      <c r="E517" s="869" t="s">
        <v>2200</v>
      </c>
      <c r="F517" s="872">
        <f>'[1]PLAN DE DESARROLLO 2024 - 2027'!$K$10</f>
        <v>0.25921388888888885</v>
      </c>
      <c r="G517" s="869" t="s">
        <v>46</v>
      </c>
      <c r="H517" s="869" t="s">
        <v>47</v>
      </c>
      <c r="I517" s="901">
        <f>+'Seguridad Humana'!Z27</f>
        <v>0.92647000000000002</v>
      </c>
      <c r="J517" s="869" t="s">
        <v>48</v>
      </c>
      <c r="K517" s="873" t="s">
        <v>2004</v>
      </c>
    </row>
    <row r="518" spans="1:16" ht="29.4" thickBot="1" x14ac:dyDescent="0.35">
      <c r="A518" s="869" t="s">
        <v>2151</v>
      </c>
      <c r="B518" s="872">
        <f>'[1]PLAN DE DESARROLLO 2024 - 2027'!$K$4</f>
        <v>0.29293663727866731</v>
      </c>
      <c r="C518" s="869" t="s">
        <v>2184</v>
      </c>
      <c r="D518" s="872">
        <f>'[1]PLAN DE DESARROLLO 2024 - 2027'!$K$5</f>
        <v>0.43173821655610001</v>
      </c>
      <c r="E518" s="869" t="s">
        <v>2200</v>
      </c>
      <c r="F518" s="872">
        <f>'[1]PLAN DE DESARROLLO 2024 - 2027'!$K$10</f>
        <v>0.25921388888888885</v>
      </c>
      <c r="G518" s="869" t="s">
        <v>49</v>
      </c>
      <c r="H518" s="869" t="s">
        <v>50</v>
      </c>
      <c r="I518" s="901">
        <f>+'Seguridad Humana'!Z28</f>
        <v>0.2225</v>
      </c>
      <c r="J518" s="869" t="s">
        <v>48</v>
      </c>
      <c r="K518" s="873" t="s">
        <v>2004</v>
      </c>
    </row>
    <row r="519" spans="1:16" ht="31.8" customHeight="1" thickBot="1" x14ac:dyDescent="0.35">
      <c r="A519" s="869" t="s">
        <v>2151</v>
      </c>
      <c r="B519" s="872">
        <f>'[1]PLAN DE DESARROLLO 2024 - 2027'!$K$4</f>
        <v>0.29293663727866731</v>
      </c>
      <c r="C519" s="869" t="s">
        <v>2184</v>
      </c>
      <c r="D519" s="872">
        <f>'[1]PLAN DE DESARROLLO 2024 - 2027'!$K$5</f>
        <v>0.43173821655610001</v>
      </c>
      <c r="E519" s="869" t="s">
        <v>2200</v>
      </c>
      <c r="F519" s="872">
        <f>'[1]PLAN DE DESARROLLO 2024 - 2027'!$K$10</f>
        <v>0.25921388888888885</v>
      </c>
      <c r="G519" s="869" t="s">
        <v>51</v>
      </c>
      <c r="H519" s="869" t="s">
        <v>52</v>
      </c>
      <c r="I519" s="901">
        <f>+'Seguridad Humana'!Z29</f>
        <v>0.83000000000000007</v>
      </c>
      <c r="J519" s="869" t="s">
        <v>48</v>
      </c>
      <c r="K519" s="873" t="s">
        <v>2004</v>
      </c>
    </row>
    <row r="520" spans="1:16" ht="29.4" thickBot="1" x14ac:dyDescent="0.35">
      <c r="A520" s="869" t="s">
        <v>2151</v>
      </c>
      <c r="B520" s="872">
        <f>'[1]PLAN DE DESARROLLO 2024 - 2027'!$K$4</f>
        <v>0.29293663727866731</v>
      </c>
      <c r="C520" s="869" t="s">
        <v>2184</v>
      </c>
      <c r="D520" s="872">
        <f>'[1]PLAN DE DESARROLLO 2024 - 2027'!$K$5</f>
        <v>0.43173821655610001</v>
      </c>
      <c r="E520" s="869" t="s">
        <v>2200</v>
      </c>
      <c r="F520" s="872">
        <f>'[1]PLAN DE DESARROLLO 2024 - 2027'!$K$10</f>
        <v>0.25921388888888885</v>
      </c>
      <c r="G520" s="869" t="s">
        <v>53</v>
      </c>
      <c r="H520" s="869" t="s">
        <v>54</v>
      </c>
      <c r="I520" s="901">
        <f>+'Seguridad Humana'!Z30</f>
        <v>0.7</v>
      </c>
      <c r="J520" s="869" t="s">
        <v>48</v>
      </c>
      <c r="K520" s="873" t="s">
        <v>2004</v>
      </c>
    </row>
    <row r="521" spans="1:16" ht="29.4" thickBot="1" x14ac:dyDescent="0.35">
      <c r="A521" s="869" t="s">
        <v>2151</v>
      </c>
      <c r="B521" s="872">
        <f>'[1]PLAN DE DESARROLLO 2024 - 2027'!$K$4</f>
        <v>0.29293663727866731</v>
      </c>
      <c r="C521" s="869" t="s">
        <v>2154</v>
      </c>
      <c r="D521" s="872">
        <f>'[1]PLAN DE DESARROLLO 2024 - 2027'!$K$11</f>
        <v>0.31811397569444444</v>
      </c>
      <c r="E521" s="869" t="s">
        <v>2201</v>
      </c>
      <c r="F521" s="872">
        <f>'[1]PLAN DE DESARROLLO 2024 - 2027'!$K$12</f>
        <v>0.47753333333333331</v>
      </c>
      <c r="G521" s="869" t="s">
        <v>56</v>
      </c>
      <c r="H521" s="869" t="s">
        <v>57</v>
      </c>
      <c r="I521" s="901">
        <f>+'Seguridad Humana'!Z33</f>
        <v>0.81220000000000003</v>
      </c>
      <c r="J521" s="869" t="s">
        <v>58</v>
      </c>
      <c r="K521" s="873" t="s">
        <v>2004</v>
      </c>
      <c r="P521"/>
    </row>
    <row r="522" spans="1:16" ht="29.4" thickBot="1" x14ac:dyDescent="0.35">
      <c r="A522" s="869" t="s">
        <v>2151</v>
      </c>
      <c r="B522" s="872">
        <f>'[1]PLAN DE DESARROLLO 2024 - 2027'!$K$4</f>
        <v>0.29293663727866731</v>
      </c>
      <c r="C522" s="869" t="s">
        <v>2154</v>
      </c>
      <c r="D522" s="872">
        <f>'[1]PLAN DE DESARROLLO 2024 - 2027'!$K$11</f>
        <v>0.31811397569444444</v>
      </c>
      <c r="E522" s="869" t="s">
        <v>2201</v>
      </c>
      <c r="F522" s="872">
        <f>'[1]PLAN DE DESARROLLO 2024 - 2027'!$K$12</f>
        <v>0.47753333333333331</v>
      </c>
      <c r="G522" s="869" t="s">
        <v>59</v>
      </c>
      <c r="H522" s="869" t="s">
        <v>60</v>
      </c>
      <c r="I522" s="901">
        <f>+'Seguridad Humana'!Z34</f>
        <v>0.96</v>
      </c>
      <c r="J522" s="869" t="s">
        <v>58</v>
      </c>
      <c r="K522" s="873" t="s">
        <v>2004</v>
      </c>
      <c r="P522"/>
    </row>
    <row r="523" spans="1:16" ht="43.8" thickBot="1" x14ac:dyDescent="0.35">
      <c r="A523" s="869" t="s">
        <v>2151</v>
      </c>
      <c r="B523" s="872">
        <f>'[1]PLAN DE DESARROLLO 2024 - 2027'!$K$4</f>
        <v>0.29293663727866731</v>
      </c>
      <c r="C523" s="869" t="s">
        <v>2154</v>
      </c>
      <c r="D523" s="872">
        <f>'[1]PLAN DE DESARROLLO 2024 - 2027'!$K$11</f>
        <v>0.31811397569444444</v>
      </c>
      <c r="E523" s="869" t="s">
        <v>2201</v>
      </c>
      <c r="F523" s="872">
        <f>'[1]PLAN DE DESARROLLO 2024 - 2027'!$K$12</f>
        <v>0.47753333333333331</v>
      </c>
      <c r="G523" s="869" t="s">
        <v>61</v>
      </c>
      <c r="H523" s="869" t="s">
        <v>62</v>
      </c>
      <c r="I523" s="901">
        <f>+'Seguridad Humana'!Z35</f>
        <v>0.75</v>
      </c>
      <c r="J523" s="869" t="s">
        <v>58</v>
      </c>
      <c r="K523" s="873" t="s">
        <v>2004</v>
      </c>
      <c r="P523"/>
    </row>
    <row r="524" spans="1:16" ht="43.8" thickBot="1" x14ac:dyDescent="0.35">
      <c r="A524" s="869" t="s">
        <v>2151</v>
      </c>
      <c r="B524" s="872">
        <f>'[1]PLAN DE DESARROLLO 2024 - 2027'!$K$4</f>
        <v>0.29293663727866731</v>
      </c>
      <c r="C524" s="869" t="s">
        <v>2154</v>
      </c>
      <c r="D524" s="872">
        <f>'[1]PLAN DE DESARROLLO 2024 - 2027'!$K$11</f>
        <v>0.31811397569444444</v>
      </c>
      <c r="E524" s="869" t="s">
        <v>2202</v>
      </c>
      <c r="F524" s="872">
        <f>'[1]PLAN DE DESARROLLO 2024 - 2027'!$K$13</f>
        <v>0.33499999999999996</v>
      </c>
      <c r="G524" s="869" t="s">
        <v>63</v>
      </c>
      <c r="H524" s="869" t="s">
        <v>64</v>
      </c>
      <c r="I524" s="901">
        <f>+'Seguridad Humana'!Z37</f>
        <v>0.59499999999999997</v>
      </c>
      <c r="J524" s="869" t="s">
        <v>58</v>
      </c>
      <c r="K524" s="873" t="s">
        <v>2004</v>
      </c>
      <c r="P524"/>
    </row>
    <row r="525" spans="1:16" ht="29.4" thickBot="1" x14ac:dyDescent="0.35">
      <c r="A525" s="869" t="s">
        <v>2151</v>
      </c>
      <c r="B525" s="872">
        <f>'[1]PLAN DE DESARROLLO 2024 - 2027'!$K$4</f>
        <v>0.29293663727866731</v>
      </c>
      <c r="C525" s="869" t="s">
        <v>2154</v>
      </c>
      <c r="D525" s="872">
        <f>'[1]PLAN DE DESARROLLO 2024 - 2027'!$K$11</f>
        <v>0.31811397569444444</v>
      </c>
      <c r="E525" s="869" t="s">
        <v>2202</v>
      </c>
      <c r="F525" s="872">
        <f>'[1]PLAN DE DESARROLLO 2024 - 2027'!$K$13</f>
        <v>0.33499999999999996</v>
      </c>
      <c r="G525" s="869" t="s">
        <v>65</v>
      </c>
      <c r="H525" s="869" t="s">
        <v>66</v>
      </c>
      <c r="I525" s="901">
        <f>+'Seguridad Humana'!Z38</f>
        <v>0.5</v>
      </c>
      <c r="J525" s="869" t="s">
        <v>58</v>
      </c>
      <c r="K525" s="873" t="s">
        <v>2004</v>
      </c>
      <c r="P525"/>
    </row>
    <row r="526" spans="1:16" ht="43.8" thickBot="1" x14ac:dyDescent="0.35">
      <c r="A526" s="869" t="s">
        <v>2151</v>
      </c>
      <c r="B526" s="872">
        <f>'[1]PLAN DE DESARROLLO 2024 - 2027'!$K$4</f>
        <v>0.29293663727866731</v>
      </c>
      <c r="C526" s="869" t="s">
        <v>2154</v>
      </c>
      <c r="D526" s="872">
        <f>'[1]PLAN DE DESARROLLO 2024 - 2027'!$K$11</f>
        <v>0.31811397569444444</v>
      </c>
      <c r="E526" s="869" t="s">
        <v>1600</v>
      </c>
      <c r="F526" s="872">
        <f>'[1]PLAN DE DESARROLLO 2024 - 2027'!$K$14</f>
        <v>0.27083333333333337</v>
      </c>
      <c r="G526" s="869" t="s">
        <v>67</v>
      </c>
      <c r="H526" s="869" t="s">
        <v>68</v>
      </c>
      <c r="I526" s="901">
        <f>+'Seguridad Humana'!Z40</f>
        <v>0.5</v>
      </c>
      <c r="J526" s="869" t="s">
        <v>12</v>
      </c>
      <c r="K526" s="873" t="s">
        <v>2004</v>
      </c>
      <c r="P526"/>
    </row>
    <row r="527" spans="1:16" ht="29.4" thickBot="1" x14ac:dyDescent="0.35">
      <c r="A527" s="869" t="s">
        <v>2151</v>
      </c>
      <c r="B527" s="872">
        <f>'[1]PLAN DE DESARROLLO 2024 - 2027'!$K$4</f>
        <v>0.29293663727866731</v>
      </c>
      <c r="C527" s="869" t="s">
        <v>2154</v>
      </c>
      <c r="D527" s="872">
        <f>'[1]PLAN DE DESARROLLO 2024 - 2027'!$K$11</f>
        <v>0.31811397569444444</v>
      </c>
      <c r="E527" s="869" t="s">
        <v>1600</v>
      </c>
      <c r="F527" s="872">
        <f>'[1]PLAN DE DESARROLLO 2024 - 2027'!$K$14</f>
        <v>0.27083333333333337</v>
      </c>
      <c r="G527" s="869" t="s">
        <v>69</v>
      </c>
      <c r="H527" s="869" t="s">
        <v>70</v>
      </c>
      <c r="I527" s="901">
        <f>+'Seguridad Humana'!Z41</f>
        <v>0.25</v>
      </c>
      <c r="J527" s="869" t="s">
        <v>12</v>
      </c>
      <c r="K527" s="873" t="s">
        <v>2004</v>
      </c>
      <c r="P527"/>
    </row>
    <row r="528" spans="1:16" ht="29.4" thickBot="1" x14ac:dyDescent="0.35">
      <c r="A528" s="869" t="s">
        <v>2151</v>
      </c>
      <c r="B528" s="872">
        <f>'[1]PLAN DE DESARROLLO 2024 - 2027'!$K$4</f>
        <v>0.29293663727866731</v>
      </c>
      <c r="C528" s="869" t="s">
        <v>2154</v>
      </c>
      <c r="D528" s="872">
        <f>'[1]PLAN DE DESARROLLO 2024 - 2027'!$K$11</f>
        <v>0.31811397569444444</v>
      </c>
      <c r="E528" s="869" t="s">
        <v>1600</v>
      </c>
      <c r="F528" s="872">
        <f>'[1]PLAN DE DESARROLLO 2024 - 2027'!$K$14</f>
        <v>0.27083333333333337</v>
      </c>
      <c r="G528" s="869" t="s">
        <v>71</v>
      </c>
      <c r="H528" s="869" t="s">
        <v>72</v>
      </c>
      <c r="I528" s="901">
        <f>+'Seguridad Humana'!Z42</f>
        <v>0.75</v>
      </c>
      <c r="J528" s="869" t="s">
        <v>12</v>
      </c>
      <c r="K528" s="873" t="s">
        <v>2004</v>
      </c>
      <c r="P528"/>
    </row>
    <row r="529" spans="1:16" ht="29.4" thickBot="1" x14ac:dyDescent="0.35">
      <c r="A529" s="869" t="s">
        <v>2151</v>
      </c>
      <c r="B529" s="872">
        <f>'[1]PLAN DE DESARROLLO 2024 - 2027'!$K$4</f>
        <v>0.29293663727866731</v>
      </c>
      <c r="C529" s="869" t="s">
        <v>2154</v>
      </c>
      <c r="D529" s="872">
        <f>'[1]PLAN DE DESARROLLO 2024 - 2027'!$K$11</f>
        <v>0.31811397569444444</v>
      </c>
      <c r="E529" s="869" t="s">
        <v>1600</v>
      </c>
      <c r="F529" s="872">
        <f>'[1]PLAN DE DESARROLLO 2024 - 2027'!$K$14</f>
        <v>0.27083333333333337</v>
      </c>
      <c r="G529" s="869" t="s">
        <v>73</v>
      </c>
      <c r="H529" s="869" t="s">
        <v>74</v>
      </c>
      <c r="I529" s="901">
        <f>+'Seguridad Humana'!Z43</f>
        <v>1</v>
      </c>
      <c r="J529" s="869" t="s">
        <v>31</v>
      </c>
      <c r="K529" s="873" t="s">
        <v>2004</v>
      </c>
      <c r="P529"/>
    </row>
    <row r="530" spans="1:16" ht="29.4" thickBot="1" x14ac:dyDescent="0.35">
      <c r="A530" s="869" t="s">
        <v>2151</v>
      </c>
      <c r="B530" s="872">
        <f>'[1]PLAN DE DESARROLLO 2024 - 2027'!$K$4</f>
        <v>0.29293663727866731</v>
      </c>
      <c r="C530" s="869" t="s">
        <v>2154</v>
      </c>
      <c r="D530" s="872">
        <f>'[1]PLAN DE DESARROLLO 2024 - 2027'!$K$11</f>
        <v>0.31811397569444444</v>
      </c>
      <c r="E530" s="869" t="s">
        <v>2203</v>
      </c>
      <c r="F530" s="872">
        <f>'[1]PLAN DE DESARROLLO 2024 - 2027'!$K$15</f>
        <v>0.22055555555555553</v>
      </c>
      <c r="G530" s="869" t="s">
        <v>75</v>
      </c>
      <c r="H530" s="869" t="s">
        <v>76</v>
      </c>
      <c r="I530" s="901">
        <f>+'Seguridad Humana'!Z45</f>
        <v>0</v>
      </c>
      <c r="J530" s="869" t="s">
        <v>12</v>
      </c>
      <c r="K530" s="873" t="s">
        <v>2004</v>
      </c>
      <c r="P530"/>
    </row>
    <row r="531" spans="1:16" ht="29.4" thickBot="1" x14ac:dyDescent="0.35">
      <c r="A531" s="869" t="s">
        <v>2151</v>
      </c>
      <c r="B531" s="872">
        <f>'[1]PLAN DE DESARROLLO 2024 - 2027'!$K$4</f>
        <v>0.29293663727866731</v>
      </c>
      <c r="C531" s="869" t="s">
        <v>2154</v>
      </c>
      <c r="D531" s="872">
        <f>'[1]PLAN DE DESARROLLO 2024 - 2027'!$K$11</f>
        <v>0.31811397569444444</v>
      </c>
      <c r="E531" s="869" t="s">
        <v>2203</v>
      </c>
      <c r="F531" s="872">
        <f>'[1]PLAN DE DESARROLLO 2024 - 2027'!$K$15</f>
        <v>0.22055555555555553</v>
      </c>
      <c r="G531" s="869" t="s">
        <v>77</v>
      </c>
      <c r="H531" s="869" t="s">
        <v>78</v>
      </c>
      <c r="I531" s="902">
        <f>+'Seguridad Humana'!Z46</f>
        <v>1</v>
      </c>
      <c r="J531" s="869" t="s">
        <v>12</v>
      </c>
      <c r="K531" s="873" t="s">
        <v>2004</v>
      </c>
      <c r="P531"/>
    </row>
    <row r="532" spans="1:16" ht="29.4" thickBot="1" x14ac:dyDescent="0.35">
      <c r="A532" s="869" t="s">
        <v>2151</v>
      </c>
      <c r="B532" s="872">
        <f>'[1]PLAN DE DESARROLLO 2024 - 2027'!$K$4</f>
        <v>0.29293663727866731</v>
      </c>
      <c r="C532" s="869" t="s">
        <v>2154</v>
      </c>
      <c r="D532" s="872">
        <f>'[1]PLAN DE DESARROLLO 2024 - 2027'!$K$11</f>
        <v>0.31811397569444444</v>
      </c>
      <c r="E532" s="869" t="s">
        <v>2203</v>
      </c>
      <c r="F532" s="872">
        <f>'[1]PLAN DE DESARROLLO 2024 - 2027'!$K$15</f>
        <v>0.22055555555555553</v>
      </c>
      <c r="G532" s="869" t="s">
        <v>79</v>
      </c>
      <c r="H532" s="869" t="s">
        <v>80</v>
      </c>
      <c r="I532" s="901">
        <f>+'Seguridad Humana'!Z47</f>
        <v>0.45833333333333331</v>
      </c>
      <c r="J532" s="869" t="s">
        <v>12</v>
      </c>
      <c r="K532" s="873" t="s">
        <v>2004</v>
      </c>
      <c r="P532"/>
    </row>
    <row r="533" spans="1:16" ht="29.4" thickBot="1" x14ac:dyDescent="0.35">
      <c r="A533" s="869" t="s">
        <v>2151</v>
      </c>
      <c r="B533" s="872">
        <f>'[1]PLAN DE DESARROLLO 2024 - 2027'!$K$4</f>
        <v>0.29293663727866731</v>
      </c>
      <c r="C533" s="869" t="s">
        <v>2154</v>
      </c>
      <c r="D533" s="872">
        <f>'[1]PLAN DE DESARROLLO 2024 - 2027'!$K$11</f>
        <v>0.31811397569444444</v>
      </c>
      <c r="E533" s="869" t="s">
        <v>2203</v>
      </c>
      <c r="F533" s="872">
        <f>'[1]PLAN DE DESARROLLO 2024 - 2027'!$K$15</f>
        <v>0.22055555555555553</v>
      </c>
      <c r="G533" s="869" t="s">
        <v>81</v>
      </c>
      <c r="H533" s="869" t="s">
        <v>82</v>
      </c>
      <c r="I533" s="902">
        <f>+'Seguridad Humana'!Z48</f>
        <v>1</v>
      </c>
      <c r="J533" s="869" t="s">
        <v>12</v>
      </c>
      <c r="K533" s="873" t="s">
        <v>2004</v>
      </c>
      <c r="P533"/>
    </row>
    <row r="534" spans="1:16" ht="29.4" thickBot="1" x14ac:dyDescent="0.35">
      <c r="A534" s="869" t="s">
        <v>2151</v>
      </c>
      <c r="B534" s="872">
        <f>'[1]PLAN DE DESARROLLO 2024 - 2027'!$K$4</f>
        <v>0.29293663727866731</v>
      </c>
      <c r="C534" s="869" t="s">
        <v>2154</v>
      </c>
      <c r="D534" s="872">
        <f>'[1]PLAN DE DESARROLLO 2024 - 2027'!$K$11</f>
        <v>0.31811397569444444</v>
      </c>
      <c r="E534" s="869" t="s">
        <v>2203</v>
      </c>
      <c r="F534" s="872">
        <f>'[1]PLAN DE DESARROLLO 2024 - 2027'!$K$15</f>
        <v>0.22055555555555553</v>
      </c>
      <c r="G534" s="869" t="s">
        <v>83</v>
      </c>
      <c r="H534" s="869" t="s">
        <v>84</v>
      </c>
      <c r="I534" s="902">
        <f>+'Seguridad Humana'!Z49</f>
        <v>0</v>
      </c>
      <c r="J534" s="869" t="s">
        <v>12</v>
      </c>
      <c r="K534" s="873" t="s">
        <v>2004</v>
      </c>
      <c r="P534"/>
    </row>
    <row r="535" spans="1:16" ht="29.4" thickBot="1" x14ac:dyDescent="0.35">
      <c r="A535" s="869" t="s">
        <v>2151</v>
      </c>
      <c r="B535" s="872">
        <f>'[1]PLAN DE DESARROLLO 2024 - 2027'!$K$4</f>
        <v>0.29293663727866731</v>
      </c>
      <c r="C535" s="869" t="s">
        <v>2154</v>
      </c>
      <c r="D535" s="872">
        <f>'[1]PLAN DE DESARROLLO 2024 - 2027'!$K$11</f>
        <v>0.31811397569444444</v>
      </c>
      <c r="E535" s="869" t="s">
        <v>2203</v>
      </c>
      <c r="F535" s="872">
        <f>'[1]PLAN DE DESARROLLO 2024 - 2027'!$K$15</f>
        <v>0.22055555555555553</v>
      </c>
      <c r="G535" s="869" t="s">
        <v>85</v>
      </c>
      <c r="H535" s="869" t="s">
        <v>86</v>
      </c>
      <c r="I535" s="902">
        <f>+'Seguridad Humana'!Z50</f>
        <v>0</v>
      </c>
      <c r="J535" s="869" t="s">
        <v>12</v>
      </c>
      <c r="K535" s="873" t="s">
        <v>2004</v>
      </c>
      <c r="P535"/>
    </row>
    <row r="536" spans="1:16" ht="29.4" thickBot="1" x14ac:dyDescent="0.35">
      <c r="A536" s="869" t="s">
        <v>2151</v>
      </c>
      <c r="B536" s="872">
        <f>'[1]PLAN DE DESARROLLO 2024 - 2027'!$K$4</f>
        <v>0.29293663727866731</v>
      </c>
      <c r="C536" s="869" t="s">
        <v>2154</v>
      </c>
      <c r="D536" s="872">
        <f>'[1]PLAN DE DESARROLLO 2024 - 2027'!$K$11</f>
        <v>0.31811397569444444</v>
      </c>
      <c r="E536" s="869" t="s">
        <v>2203</v>
      </c>
      <c r="F536" s="872">
        <f>'[1]PLAN DE DESARROLLO 2024 - 2027'!$K$15</f>
        <v>0.22055555555555553</v>
      </c>
      <c r="G536" s="869" t="s">
        <v>87</v>
      </c>
      <c r="H536" s="869" t="s">
        <v>88</v>
      </c>
      <c r="I536" s="901">
        <f>+'Seguridad Humana'!Z51</f>
        <v>0.49990000000000001</v>
      </c>
      <c r="J536" s="869" t="s">
        <v>12</v>
      </c>
      <c r="K536" s="873" t="s">
        <v>2004</v>
      </c>
      <c r="P536"/>
    </row>
    <row r="537" spans="1:16" ht="43.8" thickBot="1" x14ac:dyDescent="0.35">
      <c r="A537" s="869" t="s">
        <v>2151</v>
      </c>
      <c r="B537" s="872">
        <f>'[1]PLAN DE DESARROLLO 2024 - 2027'!$K$4</f>
        <v>0.29293663727866731</v>
      </c>
      <c r="C537" s="869" t="s">
        <v>2154</v>
      </c>
      <c r="D537" s="872">
        <f>'[1]PLAN DE DESARROLLO 2024 - 2027'!$K$11</f>
        <v>0.31811397569444444</v>
      </c>
      <c r="E537" s="869" t="s">
        <v>2204</v>
      </c>
      <c r="F537" s="872">
        <f>'[1]PLAN DE DESARROLLO 2024 - 2027'!$K$16</f>
        <v>0.30199999999999999</v>
      </c>
      <c r="G537" s="869" t="s">
        <v>89</v>
      </c>
      <c r="H537" s="869" t="s">
        <v>90</v>
      </c>
      <c r="I537" s="902">
        <f>+'Seguridad Humana'!Z53</f>
        <v>0.5272</v>
      </c>
      <c r="J537" s="869" t="s">
        <v>12</v>
      </c>
      <c r="K537" s="873" t="s">
        <v>2004</v>
      </c>
      <c r="P537"/>
    </row>
    <row r="538" spans="1:16" ht="29.4" thickBot="1" x14ac:dyDescent="0.35">
      <c r="A538" s="869" t="s">
        <v>2151</v>
      </c>
      <c r="B538" s="872">
        <f>'[1]PLAN DE DESARROLLO 2024 - 2027'!$K$4</f>
        <v>0.29293663727866731</v>
      </c>
      <c r="C538" s="869" t="s">
        <v>2154</v>
      </c>
      <c r="D538" s="872">
        <f>'[1]PLAN DE DESARROLLO 2024 - 2027'!$K$11</f>
        <v>0.31811397569444444</v>
      </c>
      <c r="E538" s="869" t="s">
        <v>2204</v>
      </c>
      <c r="F538" s="872">
        <f>'[1]PLAN DE DESARROLLO 2024 - 2027'!$K$16</f>
        <v>0.30199999999999999</v>
      </c>
      <c r="G538" s="869" t="s">
        <v>91</v>
      </c>
      <c r="H538" s="869" t="s">
        <v>92</v>
      </c>
      <c r="I538" s="902">
        <f>+'Seguridad Humana'!Z54</f>
        <v>0.5</v>
      </c>
      <c r="J538" s="869" t="s">
        <v>12</v>
      </c>
      <c r="K538" s="873" t="s">
        <v>2004</v>
      </c>
      <c r="P538"/>
    </row>
    <row r="539" spans="1:16" ht="43.8" thickBot="1" x14ac:dyDescent="0.35">
      <c r="A539" s="869" t="s">
        <v>2151</v>
      </c>
      <c r="B539" s="872">
        <f>'[1]PLAN DE DESARROLLO 2024 - 2027'!$K$4</f>
        <v>0.29293663727866731</v>
      </c>
      <c r="C539" s="869" t="s">
        <v>2154</v>
      </c>
      <c r="D539" s="872">
        <f>'[1]PLAN DE DESARROLLO 2024 - 2027'!$K$11</f>
        <v>0.31811397569444444</v>
      </c>
      <c r="E539" s="869" t="s">
        <v>2204</v>
      </c>
      <c r="F539" s="872">
        <f>'[1]PLAN DE DESARROLLO 2024 - 2027'!$K$16</f>
        <v>0.30199999999999999</v>
      </c>
      <c r="G539" s="869" t="s">
        <v>93</v>
      </c>
      <c r="H539" s="869" t="s">
        <v>94</v>
      </c>
      <c r="I539" s="901">
        <f>+'Seguridad Humana'!Z55</f>
        <v>0.73</v>
      </c>
      <c r="J539" s="869" t="s">
        <v>12</v>
      </c>
      <c r="K539" s="873" t="s">
        <v>2004</v>
      </c>
      <c r="P539"/>
    </row>
    <row r="540" spans="1:16" ht="29.4" thickBot="1" x14ac:dyDescent="0.35">
      <c r="A540" s="869" t="s">
        <v>2151</v>
      </c>
      <c r="B540" s="872">
        <f>'[1]PLAN DE DESARROLLO 2024 - 2027'!$K$4</f>
        <v>0.29293663727866731</v>
      </c>
      <c r="C540" s="869" t="s">
        <v>2154</v>
      </c>
      <c r="D540" s="872">
        <f>'[1]PLAN DE DESARROLLO 2024 - 2027'!$K$11</f>
        <v>0.31811397569444444</v>
      </c>
      <c r="E540" s="869" t="s">
        <v>2204</v>
      </c>
      <c r="F540" s="872">
        <f>'[1]PLAN DE DESARROLLO 2024 - 2027'!$K$16</f>
        <v>0.30199999999999999</v>
      </c>
      <c r="G540" s="869" t="s">
        <v>95</v>
      </c>
      <c r="H540" s="869" t="s">
        <v>96</v>
      </c>
      <c r="I540" s="901">
        <f>+'Seguridad Humana'!Z56</f>
        <v>0.25</v>
      </c>
      <c r="J540" s="869" t="s">
        <v>12</v>
      </c>
      <c r="K540" s="873" t="s">
        <v>2004</v>
      </c>
      <c r="P540"/>
    </row>
    <row r="541" spans="1:16" ht="29.4" thickBot="1" x14ac:dyDescent="0.35">
      <c r="A541" s="869" t="s">
        <v>2151</v>
      </c>
      <c r="B541" s="872">
        <f>'[1]PLAN DE DESARROLLO 2024 - 2027'!$K$4</f>
        <v>0.29293663727866731</v>
      </c>
      <c r="C541" s="869" t="s">
        <v>2154</v>
      </c>
      <c r="D541" s="872">
        <f>'[1]PLAN DE DESARROLLO 2024 - 2027'!$K$11</f>
        <v>0.31811397569444444</v>
      </c>
      <c r="E541" s="869" t="s">
        <v>1603</v>
      </c>
      <c r="F541" s="872">
        <f>'[1]PLAN DE DESARROLLO 2024 - 2027'!$K$16</f>
        <v>0.30199999999999999</v>
      </c>
      <c r="G541" s="869" t="s">
        <v>97</v>
      </c>
      <c r="H541" s="869" t="s">
        <v>98</v>
      </c>
      <c r="I541" s="902">
        <f>+'Seguridad Humana'!Z58</f>
        <v>0</v>
      </c>
      <c r="J541" s="869" t="s">
        <v>12</v>
      </c>
      <c r="K541" s="873" t="s">
        <v>2004</v>
      </c>
      <c r="P541"/>
    </row>
    <row r="542" spans="1:16" ht="29.4" thickBot="1" x14ac:dyDescent="0.35">
      <c r="A542" s="869" t="s">
        <v>2151</v>
      </c>
      <c r="B542" s="872">
        <f>'[1]PLAN DE DESARROLLO 2024 - 2027'!$K$4</f>
        <v>0.29293663727866731</v>
      </c>
      <c r="C542" s="869" t="s">
        <v>2154</v>
      </c>
      <c r="D542" s="872">
        <f>'[1]PLAN DE DESARROLLO 2024 - 2027'!$K$11</f>
        <v>0.31811397569444444</v>
      </c>
      <c r="E542" s="869" t="s">
        <v>1603</v>
      </c>
      <c r="F542" s="872">
        <f>'[1]PLAN DE DESARROLLO 2024 - 2027'!$K$16</f>
        <v>0.30199999999999999</v>
      </c>
      <c r="G542" s="869" t="s">
        <v>99</v>
      </c>
      <c r="H542" s="869" t="s">
        <v>100</v>
      </c>
      <c r="I542" s="901">
        <f>+'Seguridad Humana'!Z59</f>
        <v>0.29399999999999998</v>
      </c>
      <c r="J542" s="869" t="s">
        <v>12</v>
      </c>
      <c r="K542" s="873" t="s">
        <v>2004</v>
      </c>
      <c r="P542"/>
    </row>
    <row r="543" spans="1:16" ht="43.8" thickBot="1" x14ac:dyDescent="0.35">
      <c r="A543" s="869" t="s">
        <v>2205</v>
      </c>
      <c r="B543" s="872">
        <f>'[1]PLAN DE DESARROLLO 2024 - 2027'!$K$46</f>
        <v>0.28357478219025023</v>
      </c>
      <c r="C543" s="869" t="s">
        <v>2206</v>
      </c>
      <c r="D543" s="872">
        <f>'[1]PLAN DE DESARROLLO 2024 - 2027'!$K$47</f>
        <v>0.29578926734134092</v>
      </c>
      <c r="E543" s="869" t="s">
        <v>1990</v>
      </c>
      <c r="F543" s="872">
        <f>'[1]PLAN DE DESARROLLO 2024 - 2027'!$K$62</f>
        <v>0</v>
      </c>
      <c r="G543" s="869" t="s">
        <v>428</v>
      </c>
      <c r="H543" s="869" t="s">
        <v>429</v>
      </c>
      <c r="I543" s="901">
        <f>+'Vida Digna'!Z50</f>
        <v>0.33333333333333331</v>
      </c>
      <c r="J543" s="869" t="s">
        <v>2207</v>
      </c>
      <c r="K543" s="873" t="s">
        <v>2004</v>
      </c>
      <c r="P543"/>
    </row>
    <row r="544" spans="1:16" ht="43.8" thickBot="1" x14ac:dyDescent="0.35">
      <c r="A544" s="869" t="s">
        <v>2205</v>
      </c>
      <c r="B544" s="872">
        <f>'[1]PLAN DE DESARROLLO 2024 - 2027'!$K$46</f>
        <v>0.28357478219025023</v>
      </c>
      <c r="C544" s="869" t="s">
        <v>2206</v>
      </c>
      <c r="D544" s="872">
        <f>'[1]PLAN DE DESARROLLO 2024 - 2027'!$K$47</f>
        <v>0.29578926734134092</v>
      </c>
      <c r="E544" s="869" t="s">
        <v>1990</v>
      </c>
      <c r="F544" s="872">
        <f>'[1]PLAN DE DESARROLLO 2024 - 2027'!$K$62</f>
        <v>0</v>
      </c>
      <c r="G544" s="869" t="s">
        <v>430</v>
      </c>
      <c r="H544" s="869" t="s">
        <v>431</v>
      </c>
      <c r="I544" s="901">
        <f>+'Vida Digna'!Z51</f>
        <v>0.33333333333333331</v>
      </c>
      <c r="J544" s="869" t="s">
        <v>2207</v>
      </c>
      <c r="K544" s="873" t="s">
        <v>2004</v>
      </c>
      <c r="P544"/>
    </row>
    <row r="545" spans="1:16" ht="29.4" thickBot="1" x14ac:dyDescent="0.35">
      <c r="A545" s="869" t="s">
        <v>2205</v>
      </c>
      <c r="B545" s="872">
        <f>'[1]PLAN DE DESARROLLO 2024 - 2027'!$K$46</f>
        <v>0.28357478219025023</v>
      </c>
      <c r="C545" s="869" t="s">
        <v>2206</v>
      </c>
      <c r="D545" s="872">
        <f>'[1]PLAN DE DESARROLLO 2024 - 2027'!$K$47</f>
        <v>0.29578926734134092</v>
      </c>
      <c r="E545" s="869" t="s">
        <v>1653</v>
      </c>
      <c r="F545" s="872">
        <f>'[1]PLAN DE DESARROLLO 2024 - 2027'!$K$62</f>
        <v>0</v>
      </c>
      <c r="G545" s="869" t="s">
        <v>473</v>
      </c>
      <c r="H545" s="869" t="s">
        <v>474</v>
      </c>
      <c r="I545" s="901">
        <f>+'Vida Digna'!Z78</f>
        <v>0.25</v>
      </c>
      <c r="J545" s="869" t="s">
        <v>2208</v>
      </c>
      <c r="K545" s="873" t="s">
        <v>2004</v>
      </c>
      <c r="P545"/>
    </row>
    <row r="546" spans="1:16" ht="15" thickBot="1" x14ac:dyDescent="0.35">
      <c r="A546" s="869" t="s">
        <v>2205</v>
      </c>
      <c r="B546" s="872">
        <f>'[1]PLAN DE DESARROLLO 2024 - 2027'!$K$46</f>
        <v>0.28357478219025023</v>
      </c>
      <c r="C546" s="869" t="s">
        <v>2206</v>
      </c>
      <c r="D546" s="872">
        <f>'[1]PLAN DE DESARROLLO 2024 - 2027'!$K$47</f>
        <v>0.29578926734134092</v>
      </c>
      <c r="E546" s="869" t="s">
        <v>1653</v>
      </c>
      <c r="F546" s="872">
        <f>'[1]PLAN DE DESARROLLO 2024 - 2027'!$K$62</f>
        <v>0</v>
      </c>
      <c r="G546" s="869" t="s">
        <v>476</v>
      </c>
      <c r="H546" s="869" t="s">
        <v>477</v>
      </c>
      <c r="I546" s="901">
        <f>+'Vida Digna'!Z79</f>
        <v>0</v>
      </c>
      <c r="J546" s="869" t="s">
        <v>2208</v>
      </c>
      <c r="K546" s="873" t="s">
        <v>2004</v>
      </c>
      <c r="P546"/>
    </row>
    <row r="547" spans="1:16" ht="29.4" thickBot="1" x14ac:dyDescent="0.35">
      <c r="A547" s="869" t="s">
        <v>2205</v>
      </c>
      <c r="B547" s="872">
        <f>'[1]PLAN DE DESARROLLO 2024 - 2027'!$K$46</f>
        <v>0.28357478219025023</v>
      </c>
      <c r="C547" s="869" t="s">
        <v>2206</v>
      </c>
      <c r="D547" s="872">
        <f>'[1]PLAN DE DESARROLLO 2024 - 2027'!$K$47</f>
        <v>0.29578926734134092</v>
      </c>
      <c r="E547" s="869" t="s">
        <v>1653</v>
      </c>
      <c r="F547" s="872">
        <f>'[1]PLAN DE DESARROLLO 2024 - 2027'!$K$62</f>
        <v>0</v>
      </c>
      <c r="G547" s="869" t="s">
        <v>478</v>
      </c>
      <c r="H547" s="869" t="s">
        <v>479</v>
      </c>
      <c r="I547" s="902">
        <f>+'Vida Digna'!Z80</f>
        <v>0</v>
      </c>
      <c r="J547" s="869" t="s">
        <v>2208</v>
      </c>
      <c r="K547" s="873" t="s">
        <v>2004</v>
      </c>
      <c r="P547"/>
    </row>
    <row r="548" spans="1:16" ht="29.4" thickBot="1" x14ac:dyDescent="0.35">
      <c r="A548" s="869" t="s">
        <v>2205</v>
      </c>
      <c r="B548" s="872">
        <f>'[1]PLAN DE DESARROLLO 2024 - 2027'!$K$46</f>
        <v>0.28357478219025023</v>
      </c>
      <c r="C548" s="869" t="s">
        <v>2206</v>
      </c>
      <c r="D548" s="872">
        <f>'[1]PLAN DE DESARROLLO 2024 - 2027'!$K$47</f>
        <v>0.29578926734134092</v>
      </c>
      <c r="E548" s="869" t="s">
        <v>1653</v>
      </c>
      <c r="F548" s="872">
        <f>'[1]PLAN DE DESARROLLO 2024 - 2027'!$K$62</f>
        <v>0</v>
      </c>
      <c r="G548" s="869" t="s">
        <v>480</v>
      </c>
      <c r="H548" s="869" t="s">
        <v>481</v>
      </c>
      <c r="I548" s="901">
        <f>+'Vida Digna'!Z81</f>
        <v>0.2</v>
      </c>
      <c r="J548" s="869" t="s">
        <v>2208</v>
      </c>
      <c r="K548" s="873" t="s">
        <v>2004</v>
      </c>
      <c r="P548"/>
    </row>
    <row r="549" spans="1:16" ht="15" thickBot="1" x14ac:dyDescent="0.35">
      <c r="A549" s="869" t="s">
        <v>2205</v>
      </c>
      <c r="B549" s="872">
        <f>'[1]PLAN DE DESARROLLO 2024 - 2027'!$K$46</f>
        <v>0.28357478219025023</v>
      </c>
      <c r="C549" s="869" t="s">
        <v>2206</v>
      </c>
      <c r="D549" s="872">
        <f>'[1]PLAN DE DESARROLLO 2024 - 2027'!$K$47</f>
        <v>0.29578926734134092</v>
      </c>
      <c r="E549" s="869" t="s">
        <v>1653</v>
      </c>
      <c r="F549" s="872">
        <f>'[1]PLAN DE DESARROLLO 2024 - 2027'!$K$62</f>
        <v>0</v>
      </c>
      <c r="G549" s="869" t="s">
        <v>482</v>
      </c>
      <c r="H549" s="869" t="s">
        <v>483</v>
      </c>
      <c r="I549" s="901">
        <f>+'Vida Digna'!Z82</f>
        <v>0</v>
      </c>
      <c r="J549" s="869" t="s">
        <v>2208</v>
      </c>
      <c r="K549" s="873" t="s">
        <v>2004</v>
      </c>
      <c r="P549"/>
    </row>
    <row r="550" spans="1:16" ht="15" thickBot="1" x14ac:dyDescent="0.35">
      <c r="A550" s="869" t="s">
        <v>2205</v>
      </c>
      <c r="B550" s="872">
        <f>'[1]PLAN DE DESARROLLO 2024 - 2027'!$K$46</f>
        <v>0.28357478219025023</v>
      </c>
      <c r="C550" s="869" t="s">
        <v>2206</v>
      </c>
      <c r="D550" s="872">
        <f>'[1]PLAN DE DESARROLLO 2024 - 2027'!$K$47</f>
        <v>0.29578926734134092</v>
      </c>
      <c r="E550" s="869" t="s">
        <v>1653</v>
      </c>
      <c r="F550" s="872">
        <f>'[1]PLAN DE DESARROLLO 2024 - 2027'!$K$62</f>
        <v>0</v>
      </c>
      <c r="G550" s="869" t="s">
        <v>484</v>
      </c>
      <c r="H550" s="869" t="s">
        <v>485</v>
      </c>
      <c r="I550" s="901">
        <f>+'Vida Digna'!Z83</f>
        <v>0</v>
      </c>
      <c r="J550" s="869" t="s">
        <v>2208</v>
      </c>
      <c r="K550" s="873" t="s">
        <v>2004</v>
      </c>
      <c r="P550"/>
    </row>
    <row r="551" spans="1:16" ht="15" thickBot="1" x14ac:dyDescent="0.35">
      <c r="A551" s="869" t="s">
        <v>2205</v>
      </c>
      <c r="B551" s="872">
        <f>'[1]PLAN DE DESARROLLO 2024 - 2027'!$K$46</f>
        <v>0.28357478219025023</v>
      </c>
      <c r="C551" s="869" t="s">
        <v>2206</v>
      </c>
      <c r="D551" s="872">
        <f>'[1]PLAN DE DESARROLLO 2024 - 2027'!$K$47</f>
        <v>0.29578926734134092</v>
      </c>
      <c r="E551" s="869" t="s">
        <v>1653</v>
      </c>
      <c r="F551" s="872">
        <f>'[1]PLAN DE DESARROLLO 2024 - 2027'!$K$62</f>
        <v>0</v>
      </c>
      <c r="G551" s="869" t="s">
        <v>486</v>
      </c>
      <c r="H551" s="869" t="s">
        <v>487</v>
      </c>
      <c r="I551" s="901">
        <f>+'Vida Digna'!Z84</f>
        <v>0.20948970456580127</v>
      </c>
      <c r="J551" s="869" t="s">
        <v>2208</v>
      </c>
      <c r="K551" s="873" t="s">
        <v>2004</v>
      </c>
      <c r="P551"/>
    </row>
    <row r="552" spans="1:16" ht="29.4" thickBot="1" x14ac:dyDescent="0.35">
      <c r="A552" s="869" t="s">
        <v>2205</v>
      </c>
      <c r="B552" s="872">
        <f>'[1]PLAN DE DESARROLLO 2024 - 2027'!$K$46</f>
        <v>0.28357478219025023</v>
      </c>
      <c r="C552" s="869" t="s">
        <v>2209</v>
      </c>
      <c r="D552" s="872">
        <f>'[1]PLAN DE DESARROLLO 2024 - 2027'!$K$73</f>
        <v>0.30468955227047623</v>
      </c>
      <c r="E552" s="869" t="s">
        <v>2210</v>
      </c>
      <c r="F552" s="872">
        <f>'[1]PLAN DE DESARROLLO 2024 - 2027'!$K$79</f>
        <v>0</v>
      </c>
      <c r="G552" s="869" t="s">
        <v>612</v>
      </c>
      <c r="H552" s="869" t="s">
        <v>613</v>
      </c>
      <c r="I552" s="901">
        <f>+'Vida Digna'!Z161</f>
        <v>0</v>
      </c>
      <c r="J552" s="869" t="s">
        <v>2211</v>
      </c>
      <c r="K552" s="873" t="s">
        <v>2004</v>
      </c>
      <c r="P552"/>
    </row>
    <row r="553" spans="1:16" ht="29.4" thickBot="1" x14ac:dyDescent="0.35">
      <c r="A553" s="869" t="s">
        <v>2205</v>
      </c>
      <c r="B553" s="872">
        <f>'[1]PLAN DE DESARROLLO 2024 - 2027'!$K$46</f>
        <v>0.28357478219025023</v>
      </c>
      <c r="C553" s="869" t="s">
        <v>2209</v>
      </c>
      <c r="D553" s="872">
        <f>'[1]PLAN DE DESARROLLO 2024 - 2027'!$K$73</f>
        <v>0.30468955227047623</v>
      </c>
      <c r="E553" s="869" t="s">
        <v>2210</v>
      </c>
      <c r="F553" s="872">
        <f>'[1]PLAN DE DESARROLLO 2024 - 2027'!$K$79</f>
        <v>0</v>
      </c>
      <c r="G553" s="869" t="s">
        <v>614</v>
      </c>
      <c r="H553" s="869" t="s">
        <v>615</v>
      </c>
      <c r="I553" s="902">
        <f>+'Vida Digna'!Z162</f>
        <v>0</v>
      </c>
      <c r="J553" s="869" t="s">
        <v>2211</v>
      </c>
      <c r="K553" s="873" t="s">
        <v>2004</v>
      </c>
      <c r="P553"/>
    </row>
    <row r="554" spans="1:16" ht="29.4" thickBot="1" x14ac:dyDescent="0.35">
      <c r="A554" s="869" t="s">
        <v>2205</v>
      </c>
      <c r="B554" s="872">
        <f>'[1]PLAN DE DESARROLLO 2024 - 2027'!$K$46</f>
        <v>0.28357478219025023</v>
      </c>
      <c r="C554" s="869" t="s">
        <v>2209</v>
      </c>
      <c r="D554" s="872">
        <f>'[1]PLAN DE DESARROLLO 2024 - 2027'!$K$73</f>
        <v>0.30468955227047623</v>
      </c>
      <c r="E554" s="869" t="s">
        <v>2210</v>
      </c>
      <c r="F554" s="872">
        <f>'[1]PLAN DE DESARROLLO 2024 - 2027'!$K$79</f>
        <v>0</v>
      </c>
      <c r="G554" s="869" t="s">
        <v>616</v>
      </c>
      <c r="H554" s="869" t="s">
        <v>617</v>
      </c>
      <c r="I554" s="901">
        <f>+'Vida Digna'!Z163</f>
        <v>0</v>
      </c>
      <c r="J554" s="869" t="s">
        <v>2211</v>
      </c>
      <c r="K554" s="873" t="s">
        <v>2004</v>
      </c>
      <c r="P554"/>
    </row>
    <row r="555" spans="1:16" ht="29.4" thickBot="1" x14ac:dyDescent="0.35">
      <c r="A555" s="869" t="s">
        <v>2205</v>
      </c>
      <c r="B555" s="872">
        <f>'[1]PLAN DE DESARROLLO 2024 - 2027'!$K$46</f>
        <v>0.28357478219025023</v>
      </c>
      <c r="C555" s="869" t="s">
        <v>2206</v>
      </c>
      <c r="D555" s="872">
        <f>'[1]PLAN DE DESARROLLO 2024 - 2027'!$K$47</f>
        <v>0.29578926734134092</v>
      </c>
      <c r="E555" s="869" t="s">
        <v>1640</v>
      </c>
      <c r="F555" s="872">
        <f>'[1]PLAN DE DESARROLLO 2024 - 2027'!$K$48</f>
        <v>0.15</v>
      </c>
      <c r="G555" s="869" t="s">
        <v>355</v>
      </c>
      <c r="H555" s="869" t="s">
        <v>356</v>
      </c>
      <c r="I555" s="901">
        <f>+'Vida Digna'!Z6</f>
        <v>0.1</v>
      </c>
      <c r="J555" s="869" t="s">
        <v>2207</v>
      </c>
      <c r="K555" s="873" t="s">
        <v>2004</v>
      </c>
      <c r="P555"/>
    </row>
    <row r="556" spans="1:16" ht="15" thickBot="1" x14ac:dyDescent="0.35">
      <c r="A556" s="869" t="s">
        <v>2205</v>
      </c>
      <c r="B556" s="872">
        <f>'[1]PLAN DE DESARROLLO 2024 - 2027'!$K$46</f>
        <v>0.28357478219025023</v>
      </c>
      <c r="C556" s="869" t="s">
        <v>2206</v>
      </c>
      <c r="D556" s="872">
        <f>'[1]PLAN DE DESARROLLO 2024 - 2027'!$K$47</f>
        <v>0.29578926734134092</v>
      </c>
      <c r="E556" s="869" t="s">
        <v>1640</v>
      </c>
      <c r="F556" s="872">
        <f>'[1]PLAN DE DESARROLLO 2024 - 2027'!$K$48</f>
        <v>0.15</v>
      </c>
      <c r="G556" s="869" t="s">
        <v>358</v>
      </c>
      <c r="H556" s="869" t="s">
        <v>359</v>
      </c>
      <c r="I556" s="901">
        <f>+'Vida Digna'!Z7</f>
        <v>1.6666666666666666E-2</v>
      </c>
      <c r="J556" s="869" t="s">
        <v>2207</v>
      </c>
      <c r="K556" s="873" t="s">
        <v>2004</v>
      </c>
      <c r="P556"/>
    </row>
    <row r="557" spans="1:16" ht="29.4" thickBot="1" x14ac:dyDescent="0.35">
      <c r="A557" s="869" t="s">
        <v>2205</v>
      </c>
      <c r="B557" s="872">
        <f>'[1]PLAN DE DESARROLLO 2024 - 2027'!$K$46</f>
        <v>0.28357478219025023</v>
      </c>
      <c r="C557" s="869" t="s">
        <v>2206</v>
      </c>
      <c r="D557" s="872">
        <f>'[1]PLAN DE DESARROLLO 2024 - 2027'!$K$47</f>
        <v>0.29578926734134092</v>
      </c>
      <c r="E557" s="869" t="s">
        <v>1640</v>
      </c>
      <c r="F557" s="872">
        <f>'[1]PLAN DE DESARROLLO 2024 - 2027'!$K$48</f>
        <v>0.15</v>
      </c>
      <c r="G557" s="869" t="s">
        <v>360</v>
      </c>
      <c r="H557" s="869" t="s">
        <v>361</v>
      </c>
      <c r="I557" s="901">
        <f>+'Vida Digna'!Z8</f>
        <v>0.39</v>
      </c>
      <c r="J557" s="869" t="s">
        <v>2207</v>
      </c>
      <c r="K557" s="873" t="s">
        <v>2004</v>
      </c>
      <c r="P557"/>
    </row>
    <row r="558" spans="1:16" ht="29.4" thickBot="1" x14ac:dyDescent="0.35">
      <c r="A558" s="869" t="s">
        <v>2205</v>
      </c>
      <c r="B558" s="872">
        <f>'[1]PLAN DE DESARROLLO 2024 - 2027'!$K$46</f>
        <v>0.28357478219025023</v>
      </c>
      <c r="C558" s="869" t="s">
        <v>2206</v>
      </c>
      <c r="D558" s="872">
        <f>'[1]PLAN DE DESARROLLO 2024 - 2027'!$K$47</f>
        <v>0.29578926734134092</v>
      </c>
      <c r="E558" s="869" t="s">
        <v>1640</v>
      </c>
      <c r="F558" s="872">
        <f>'[1]PLAN DE DESARROLLO 2024 - 2027'!$K$48</f>
        <v>0.15</v>
      </c>
      <c r="G558" s="869" t="s">
        <v>362</v>
      </c>
      <c r="H558" s="869" t="s">
        <v>363</v>
      </c>
      <c r="I558" s="901">
        <f>+'Vida Digna'!Z9</f>
        <v>0.4</v>
      </c>
      <c r="J558" s="869" t="s">
        <v>2207</v>
      </c>
      <c r="K558" s="873" t="s">
        <v>2004</v>
      </c>
      <c r="P558"/>
    </row>
    <row r="559" spans="1:16" ht="15" thickBot="1" x14ac:dyDescent="0.35">
      <c r="A559" s="869" t="s">
        <v>2205</v>
      </c>
      <c r="B559" s="872">
        <f>'[1]PLAN DE DESARROLLO 2024 - 2027'!$K$46</f>
        <v>0.28357478219025023</v>
      </c>
      <c r="C559" s="869" t="s">
        <v>2206</v>
      </c>
      <c r="D559" s="872">
        <f>'[1]PLAN DE DESARROLLO 2024 - 2027'!$K$47</f>
        <v>0.29578926734134092</v>
      </c>
      <c r="E559" s="869" t="s">
        <v>1640</v>
      </c>
      <c r="F559" s="872">
        <f>'[1]PLAN DE DESARROLLO 2024 - 2027'!$K$48</f>
        <v>0.15</v>
      </c>
      <c r="G559" s="869" t="s">
        <v>364</v>
      </c>
      <c r="H559" s="869" t="s">
        <v>365</v>
      </c>
      <c r="I559" s="901">
        <f>+'Vida Digna'!Z10</f>
        <v>0.51249999999999996</v>
      </c>
      <c r="J559" s="869" t="s">
        <v>2207</v>
      </c>
      <c r="K559" s="873" t="s">
        <v>2004</v>
      </c>
      <c r="P559"/>
    </row>
    <row r="560" spans="1:16" ht="29.4" thickBot="1" x14ac:dyDescent="0.35">
      <c r="A560" s="869" t="s">
        <v>2205</v>
      </c>
      <c r="B560" s="872">
        <f>'[1]PLAN DE DESARROLLO 2024 - 2027'!$K$46</f>
        <v>0.28357478219025023</v>
      </c>
      <c r="C560" s="869" t="s">
        <v>2206</v>
      </c>
      <c r="D560" s="872">
        <f>'[1]PLAN DE DESARROLLO 2024 - 2027'!$K$47</f>
        <v>0.29578926734134092</v>
      </c>
      <c r="E560" s="869" t="s">
        <v>1640</v>
      </c>
      <c r="F560" s="872">
        <f>'[1]PLAN DE DESARROLLO 2024 - 2027'!$K$48</f>
        <v>0.15</v>
      </c>
      <c r="G560" s="869" t="s">
        <v>366</v>
      </c>
      <c r="H560" s="869" t="s">
        <v>367</v>
      </c>
      <c r="I560" s="901">
        <f>+'Vida Digna'!Z11</f>
        <v>0.32100000000000001</v>
      </c>
      <c r="J560" s="869" t="s">
        <v>2207</v>
      </c>
      <c r="K560" s="873" t="s">
        <v>2004</v>
      </c>
      <c r="P560"/>
    </row>
    <row r="561" spans="1:16" ht="43.8" thickBot="1" x14ac:dyDescent="0.35">
      <c r="A561" s="869" t="s">
        <v>2205</v>
      </c>
      <c r="B561" s="872">
        <f>'[1]PLAN DE DESARROLLO 2024 - 2027'!$K$46</f>
        <v>0.28357478219025023</v>
      </c>
      <c r="C561" s="869" t="s">
        <v>2206</v>
      </c>
      <c r="D561" s="872">
        <f>'[1]PLAN DE DESARROLLO 2024 - 2027'!$K$47</f>
        <v>0.29578926734134092</v>
      </c>
      <c r="E561" s="869" t="s">
        <v>2212</v>
      </c>
      <c r="F561" s="872">
        <f>'[1]PLAN DE DESARROLLO 2024 - 2027'!$K$49</f>
        <v>0.69047619047619047</v>
      </c>
      <c r="G561" s="869" t="s">
        <v>2213</v>
      </c>
      <c r="H561" s="869" t="s">
        <v>2214</v>
      </c>
      <c r="I561" s="901">
        <f>+'Vida Digna'!Z13</f>
        <v>0.625</v>
      </c>
      <c r="J561" s="869" t="s">
        <v>2207</v>
      </c>
      <c r="K561" s="873" t="s">
        <v>2004</v>
      </c>
      <c r="P561"/>
    </row>
    <row r="562" spans="1:16" ht="72.599999999999994" thickBot="1" x14ac:dyDescent="0.35">
      <c r="A562" s="869" t="s">
        <v>2205</v>
      </c>
      <c r="B562" s="872">
        <f>'[1]PLAN DE DESARROLLO 2024 - 2027'!$K$46</f>
        <v>0.28357478219025023</v>
      </c>
      <c r="C562" s="869" t="s">
        <v>2206</v>
      </c>
      <c r="D562" s="872">
        <f>'[1]PLAN DE DESARROLLO 2024 - 2027'!$K$47</f>
        <v>0.29578926734134092</v>
      </c>
      <c r="E562" s="869" t="s">
        <v>2212</v>
      </c>
      <c r="F562" s="872">
        <f>'[1]PLAN DE DESARROLLO 2024 - 2027'!$K$49</f>
        <v>0.69047619047619047</v>
      </c>
      <c r="G562" s="869" t="s">
        <v>370</v>
      </c>
      <c r="H562" s="869" t="s">
        <v>371</v>
      </c>
      <c r="I562" s="901">
        <f>+'Vida Digna'!Z14</f>
        <v>0.52380952380952384</v>
      </c>
      <c r="J562" s="869" t="s">
        <v>2207</v>
      </c>
      <c r="K562" s="873" t="s">
        <v>2004</v>
      </c>
      <c r="P562"/>
    </row>
    <row r="563" spans="1:16" ht="29.4" thickBot="1" x14ac:dyDescent="0.35">
      <c r="A563" s="869" t="s">
        <v>2205</v>
      </c>
      <c r="B563" s="872">
        <f>'[1]PLAN DE DESARROLLO 2024 - 2027'!$K$46</f>
        <v>0.28357478219025023</v>
      </c>
      <c r="C563" s="869" t="s">
        <v>2206</v>
      </c>
      <c r="D563" s="872">
        <f>'[1]PLAN DE DESARROLLO 2024 - 2027'!$K$47</f>
        <v>0.29578926734134092</v>
      </c>
      <c r="E563" s="869" t="s">
        <v>1642</v>
      </c>
      <c r="F563" s="872">
        <f>'[1]PLAN DE DESARROLLO 2024 - 2027'!$K$50</f>
        <v>0.31760453817784751</v>
      </c>
      <c r="G563" s="869" t="s">
        <v>372</v>
      </c>
      <c r="H563" s="869" t="s">
        <v>373</v>
      </c>
      <c r="I563" s="902">
        <f>+'Vida Digna'!Z16</f>
        <v>0</v>
      </c>
      <c r="J563" s="869" t="s">
        <v>2207</v>
      </c>
      <c r="K563" s="873" t="s">
        <v>2004</v>
      </c>
      <c r="P563"/>
    </row>
    <row r="564" spans="1:16" ht="43.8" thickBot="1" x14ac:dyDescent="0.35">
      <c r="A564" s="869" t="s">
        <v>2205</v>
      </c>
      <c r="B564" s="872">
        <f>'[1]PLAN DE DESARROLLO 2024 - 2027'!$K$46</f>
        <v>0.28357478219025023</v>
      </c>
      <c r="C564" s="869" t="s">
        <v>2206</v>
      </c>
      <c r="D564" s="872">
        <f>'[1]PLAN DE DESARROLLO 2024 - 2027'!$K$47</f>
        <v>0.29578926734134092</v>
      </c>
      <c r="E564" s="869" t="s">
        <v>1642</v>
      </c>
      <c r="F564" s="872">
        <f>'[1]PLAN DE DESARROLLO 2024 - 2027'!$K$50</f>
        <v>0.31760453817784751</v>
      </c>
      <c r="G564" s="869" t="s">
        <v>374</v>
      </c>
      <c r="H564" s="869" t="s">
        <v>375</v>
      </c>
      <c r="I564" s="901">
        <f>+'Vida Digna'!Z17</f>
        <v>0.48190308488360084</v>
      </c>
      <c r="J564" s="869" t="s">
        <v>2207</v>
      </c>
      <c r="K564" s="873" t="s">
        <v>2004</v>
      </c>
      <c r="P564"/>
    </row>
    <row r="565" spans="1:16" ht="29.4" thickBot="1" x14ac:dyDescent="0.35">
      <c r="A565" s="869" t="s">
        <v>2205</v>
      </c>
      <c r="B565" s="872">
        <f>'[1]PLAN DE DESARROLLO 2024 - 2027'!$K$46</f>
        <v>0.28357478219025023</v>
      </c>
      <c r="C565" s="869" t="s">
        <v>2206</v>
      </c>
      <c r="D565" s="872">
        <f>'[1]PLAN DE DESARROLLO 2024 - 2027'!$K$47</f>
        <v>0.29578926734134092</v>
      </c>
      <c r="E565" s="869" t="s">
        <v>1642</v>
      </c>
      <c r="F565" s="872">
        <f>'[1]PLAN DE DESARROLLO 2024 - 2027'!$K$50</f>
        <v>0.31760453817784751</v>
      </c>
      <c r="G565" s="869" t="s">
        <v>376</v>
      </c>
      <c r="H565" s="869" t="s">
        <v>377</v>
      </c>
      <c r="I565" s="901">
        <f>+'Vida Digna'!Z18</f>
        <v>0.40749999999999997</v>
      </c>
      <c r="J565" s="869" t="s">
        <v>2207</v>
      </c>
      <c r="K565" s="873" t="s">
        <v>2004</v>
      </c>
      <c r="P565"/>
    </row>
    <row r="566" spans="1:16" ht="43.8" thickBot="1" x14ac:dyDescent="0.35">
      <c r="A566" s="869" t="s">
        <v>2205</v>
      </c>
      <c r="B566" s="872">
        <f>'[1]PLAN DE DESARROLLO 2024 - 2027'!$K$46</f>
        <v>0.28357478219025023</v>
      </c>
      <c r="C566" s="869" t="s">
        <v>2206</v>
      </c>
      <c r="D566" s="872">
        <f>'[1]PLAN DE DESARROLLO 2024 - 2027'!$K$47</f>
        <v>0.29578926734134092</v>
      </c>
      <c r="E566" s="869" t="s">
        <v>1642</v>
      </c>
      <c r="F566" s="872">
        <f>'[1]PLAN DE DESARROLLO 2024 - 2027'!$K$50</f>
        <v>0.31760453817784751</v>
      </c>
      <c r="G566" s="869" t="s">
        <v>378</v>
      </c>
      <c r="H566" s="869" t="s">
        <v>379</v>
      </c>
      <c r="I566" s="901">
        <f>+'Vida Digna'!Z19</f>
        <v>0.54527499999999995</v>
      </c>
      <c r="J566" s="869" t="s">
        <v>2207</v>
      </c>
      <c r="K566" s="873" t="s">
        <v>2004</v>
      </c>
      <c r="P566"/>
    </row>
    <row r="567" spans="1:16" ht="43.8" thickBot="1" x14ac:dyDescent="0.35">
      <c r="A567" s="869" t="s">
        <v>2205</v>
      </c>
      <c r="B567" s="872">
        <f>'[1]PLAN DE DESARROLLO 2024 - 2027'!$K$46</f>
        <v>0.28357478219025023</v>
      </c>
      <c r="C567" s="869" t="s">
        <v>2206</v>
      </c>
      <c r="D567" s="872">
        <f>'[1]PLAN DE DESARROLLO 2024 - 2027'!$K$47</f>
        <v>0.29578926734134092</v>
      </c>
      <c r="E567" s="869" t="s">
        <v>1642</v>
      </c>
      <c r="F567" s="872">
        <f>'[1]PLAN DE DESARROLLO 2024 - 2027'!$K$50</f>
        <v>0.31760453817784751</v>
      </c>
      <c r="G567" s="869" t="s">
        <v>380</v>
      </c>
      <c r="H567" s="869" t="s">
        <v>381</v>
      </c>
      <c r="I567" s="901">
        <f>+'Vida Digna'!Z20</f>
        <v>0.55555555555555558</v>
      </c>
      <c r="J567" s="869" t="s">
        <v>2207</v>
      </c>
      <c r="K567" s="873" t="s">
        <v>2004</v>
      </c>
      <c r="P567"/>
    </row>
    <row r="568" spans="1:16" ht="43.8" thickBot="1" x14ac:dyDescent="0.35">
      <c r="A568" s="869" t="s">
        <v>2205</v>
      </c>
      <c r="B568" s="872">
        <f>'[1]PLAN DE DESARROLLO 2024 - 2027'!$K$46</f>
        <v>0.28357478219025023</v>
      </c>
      <c r="C568" s="869" t="s">
        <v>2206</v>
      </c>
      <c r="D568" s="872">
        <f>'[1]PLAN DE DESARROLLO 2024 - 2027'!$K$47</f>
        <v>0.29578926734134092</v>
      </c>
      <c r="E568" s="869" t="s">
        <v>2215</v>
      </c>
      <c r="F568" s="872">
        <f>'[1]PLAN DE DESARROLLO 2024 - 2027'!$K$51</f>
        <v>0.43130491491989748</v>
      </c>
      <c r="G568" s="869" t="s">
        <v>2216</v>
      </c>
      <c r="H568" s="869" t="s">
        <v>2217</v>
      </c>
      <c r="I568" s="901">
        <f>+'Vida Digna'!Z22</f>
        <v>0.77777777777777779</v>
      </c>
      <c r="J568" s="869" t="s">
        <v>2207</v>
      </c>
      <c r="K568" s="873" t="s">
        <v>2004</v>
      </c>
      <c r="P568"/>
    </row>
    <row r="569" spans="1:16" ht="43.8" thickBot="1" x14ac:dyDescent="0.35">
      <c r="A569" s="869" t="s">
        <v>2205</v>
      </c>
      <c r="B569" s="872">
        <f>'[1]PLAN DE DESARROLLO 2024 - 2027'!$K$46</f>
        <v>0.28357478219025023</v>
      </c>
      <c r="C569" s="869" t="s">
        <v>2206</v>
      </c>
      <c r="D569" s="872">
        <f>'[1]PLAN DE DESARROLLO 2024 - 2027'!$K$47</f>
        <v>0.29578926734134092</v>
      </c>
      <c r="E569" s="869" t="s">
        <v>2215</v>
      </c>
      <c r="F569" s="872">
        <f>'[1]PLAN DE DESARROLLO 2024 - 2027'!$K$51</f>
        <v>0.43130491491989748</v>
      </c>
      <c r="G569" s="869" t="s">
        <v>384</v>
      </c>
      <c r="H569" s="869" t="s">
        <v>385</v>
      </c>
      <c r="I569" s="901">
        <f>+'Vida Digna'!Z23</f>
        <v>1</v>
      </c>
      <c r="J569" s="869" t="s">
        <v>2207</v>
      </c>
      <c r="K569" s="873" t="s">
        <v>2004</v>
      </c>
      <c r="P569"/>
    </row>
    <row r="570" spans="1:16" ht="29.4" thickBot="1" x14ac:dyDescent="0.35">
      <c r="A570" s="869" t="s">
        <v>2205</v>
      </c>
      <c r="B570" s="872">
        <f>'[1]PLAN DE DESARROLLO 2024 - 2027'!$K$46</f>
        <v>0.28357478219025023</v>
      </c>
      <c r="C570" s="869" t="s">
        <v>2206</v>
      </c>
      <c r="D570" s="872">
        <f>'[1]PLAN DE DESARROLLO 2024 - 2027'!$K$47</f>
        <v>0.29578926734134092</v>
      </c>
      <c r="E570" s="869" t="s">
        <v>2215</v>
      </c>
      <c r="F570" s="872">
        <f>'[1]PLAN DE DESARROLLO 2024 - 2027'!$K$51</f>
        <v>0.43130491491989748</v>
      </c>
      <c r="G570" s="869" t="s">
        <v>386</v>
      </c>
      <c r="H570" s="869" t="s">
        <v>387</v>
      </c>
      <c r="I570" s="901">
        <f>+'Vida Digna'!Z24</f>
        <v>0.92592592592592593</v>
      </c>
      <c r="J570" s="869" t="s">
        <v>2207</v>
      </c>
      <c r="K570" s="873" t="s">
        <v>2004</v>
      </c>
      <c r="P570"/>
    </row>
    <row r="571" spans="1:16" ht="43.8" thickBot="1" x14ac:dyDescent="0.35">
      <c r="A571" s="869" t="s">
        <v>2205</v>
      </c>
      <c r="B571" s="872">
        <f>'[1]PLAN DE DESARROLLO 2024 - 2027'!$K$46</f>
        <v>0.28357478219025023</v>
      </c>
      <c r="C571" s="869" t="s">
        <v>2206</v>
      </c>
      <c r="D571" s="872">
        <f>'[1]PLAN DE DESARROLLO 2024 - 2027'!$K$47</f>
        <v>0.29578926734134092</v>
      </c>
      <c r="E571" s="869" t="s">
        <v>2215</v>
      </c>
      <c r="F571" s="872">
        <f>'[1]PLAN DE DESARROLLO 2024 - 2027'!$K$51</f>
        <v>0.43130491491989748</v>
      </c>
      <c r="G571" s="869" t="s">
        <v>388</v>
      </c>
      <c r="H571" s="869" t="s">
        <v>389</v>
      </c>
      <c r="I571" s="901">
        <f>+'Vida Digna'!Z25</f>
        <v>0.20524999999999999</v>
      </c>
      <c r="J571" s="869" t="s">
        <v>2207</v>
      </c>
      <c r="K571" s="873" t="s">
        <v>2004</v>
      </c>
      <c r="P571"/>
    </row>
    <row r="572" spans="1:16" ht="43.8" thickBot="1" x14ac:dyDescent="0.35">
      <c r="A572" s="869" t="s">
        <v>2205</v>
      </c>
      <c r="B572" s="872">
        <f>'[1]PLAN DE DESARROLLO 2024 - 2027'!$K$46</f>
        <v>0.28357478219025023</v>
      </c>
      <c r="C572" s="869" t="s">
        <v>2206</v>
      </c>
      <c r="D572" s="872">
        <f>'[1]PLAN DE DESARROLLO 2024 - 2027'!$K$47</f>
        <v>0.29578926734134092</v>
      </c>
      <c r="E572" s="869" t="s">
        <v>2215</v>
      </c>
      <c r="F572" s="872">
        <f>'[1]PLAN DE DESARROLLO 2024 - 2027'!$K$51</f>
        <v>0.43130491491989748</v>
      </c>
      <c r="G572" s="869" t="s">
        <v>390</v>
      </c>
      <c r="H572" s="869" t="s">
        <v>391</v>
      </c>
      <c r="I572" s="901">
        <f>+'Vida Digna'!Z26</f>
        <v>0.36043360433604338</v>
      </c>
      <c r="J572" s="869" t="s">
        <v>2207</v>
      </c>
      <c r="K572" s="873" t="s">
        <v>2004</v>
      </c>
      <c r="P572"/>
    </row>
    <row r="573" spans="1:16" ht="15" thickBot="1" x14ac:dyDescent="0.35">
      <c r="A573" s="869" t="s">
        <v>2205</v>
      </c>
      <c r="B573" s="872">
        <f>'[1]PLAN DE DESARROLLO 2024 - 2027'!$K$46</f>
        <v>0.28357478219025023</v>
      </c>
      <c r="C573" s="869" t="s">
        <v>2206</v>
      </c>
      <c r="D573" s="872">
        <f>'[1]PLAN DE DESARROLLO 2024 - 2027'!$K$47</f>
        <v>0.29578926734134092</v>
      </c>
      <c r="E573" s="869" t="s">
        <v>2215</v>
      </c>
      <c r="F573" s="872">
        <f>'[1]PLAN DE DESARROLLO 2024 - 2027'!$K$51</f>
        <v>0.43130491491989748</v>
      </c>
      <c r="G573" s="869" t="s">
        <v>392</v>
      </c>
      <c r="H573" s="869" t="s">
        <v>393</v>
      </c>
      <c r="I573" s="901">
        <f>+'Vida Digna'!Z27</f>
        <v>8.4523809523809529E-2</v>
      </c>
      <c r="J573" s="869" t="s">
        <v>2207</v>
      </c>
      <c r="K573" s="873" t="s">
        <v>2004</v>
      </c>
      <c r="P573"/>
    </row>
    <row r="574" spans="1:16" ht="43.8" thickBot="1" x14ac:dyDescent="0.35">
      <c r="A574" s="869" t="s">
        <v>2205</v>
      </c>
      <c r="B574" s="872">
        <f>'[1]PLAN DE DESARROLLO 2024 - 2027'!$K$46</f>
        <v>0.28357478219025023</v>
      </c>
      <c r="C574" s="869" t="s">
        <v>2206</v>
      </c>
      <c r="D574" s="872">
        <f>'[1]PLAN DE DESARROLLO 2024 - 2027'!$K$47</f>
        <v>0.29578926734134092</v>
      </c>
      <c r="E574" s="869" t="s">
        <v>2215</v>
      </c>
      <c r="F574" s="872">
        <f>'[1]PLAN DE DESARROLLO 2024 - 2027'!$K$51</f>
        <v>0.43130491491989748</v>
      </c>
      <c r="G574" s="869" t="s">
        <v>394</v>
      </c>
      <c r="H574" s="869" t="s">
        <v>395</v>
      </c>
      <c r="I574" s="901">
        <f>+'Vida Digna'!Z28</f>
        <v>0.48</v>
      </c>
      <c r="J574" s="869" t="s">
        <v>2207</v>
      </c>
      <c r="K574" s="873" t="s">
        <v>2004</v>
      </c>
      <c r="P574"/>
    </row>
    <row r="575" spans="1:16" ht="43.8" thickBot="1" x14ac:dyDescent="0.35">
      <c r="A575" s="869" t="s">
        <v>2205</v>
      </c>
      <c r="B575" s="872">
        <f>'[1]PLAN DE DESARROLLO 2024 - 2027'!$K$46</f>
        <v>0.28357478219025023</v>
      </c>
      <c r="C575" s="869" t="s">
        <v>2206</v>
      </c>
      <c r="D575" s="872">
        <f>'[1]PLAN DE DESARROLLO 2024 - 2027'!$K$47</f>
        <v>0.29578926734134092</v>
      </c>
      <c r="E575" s="869" t="s">
        <v>2218</v>
      </c>
      <c r="F575" s="872">
        <f>'[1]PLAN DE DESARROLLO 2024 - 2027'!$K$52</f>
        <v>0.39682005385712021</v>
      </c>
      <c r="G575" s="869" t="s">
        <v>396</v>
      </c>
      <c r="H575" s="869" t="s">
        <v>397</v>
      </c>
      <c r="I575" s="901">
        <f>+'Vida Digna'!Z30</f>
        <v>0.55084745762711862</v>
      </c>
      <c r="J575" s="869" t="s">
        <v>2207</v>
      </c>
      <c r="K575" s="873" t="s">
        <v>2004</v>
      </c>
      <c r="P575"/>
    </row>
    <row r="576" spans="1:16" ht="43.8" thickBot="1" x14ac:dyDescent="0.35">
      <c r="A576" s="869" t="s">
        <v>2205</v>
      </c>
      <c r="B576" s="872">
        <f>'[1]PLAN DE DESARROLLO 2024 - 2027'!$K$46</f>
        <v>0.28357478219025023</v>
      </c>
      <c r="C576" s="869" t="s">
        <v>2206</v>
      </c>
      <c r="D576" s="872">
        <f>'[1]PLAN DE DESARROLLO 2024 - 2027'!$K$47</f>
        <v>0.29578926734134092</v>
      </c>
      <c r="E576" s="869" t="s">
        <v>2218</v>
      </c>
      <c r="F576" s="872">
        <f>'[1]PLAN DE DESARROLLO 2024 - 2027'!$K$52</f>
        <v>0.39682005385712021</v>
      </c>
      <c r="G576" s="869" t="s">
        <v>2219</v>
      </c>
      <c r="H576" s="869" t="s">
        <v>2220</v>
      </c>
      <c r="I576" s="901">
        <f>+'Vida Digna'!Z31</f>
        <v>1</v>
      </c>
      <c r="J576" s="869" t="s">
        <v>2207</v>
      </c>
      <c r="K576" s="873" t="s">
        <v>2004</v>
      </c>
      <c r="P576"/>
    </row>
    <row r="577" spans="1:16" ht="43.8" thickBot="1" x14ac:dyDescent="0.35">
      <c r="A577" s="869" t="s">
        <v>2205</v>
      </c>
      <c r="B577" s="872">
        <f>'[1]PLAN DE DESARROLLO 2024 - 2027'!$K$46</f>
        <v>0.28357478219025023</v>
      </c>
      <c r="C577" s="869" t="s">
        <v>2206</v>
      </c>
      <c r="D577" s="872">
        <f>'[1]PLAN DE DESARROLLO 2024 - 2027'!$K$47</f>
        <v>0.29578926734134092</v>
      </c>
      <c r="E577" s="869" t="s">
        <v>2218</v>
      </c>
      <c r="F577" s="872">
        <f>'[1]PLAN DE DESARROLLO 2024 - 2027'!$K$52</f>
        <v>0.39682005385712021</v>
      </c>
      <c r="G577" s="869" t="s">
        <v>400</v>
      </c>
      <c r="H577" s="869" t="s">
        <v>401</v>
      </c>
      <c r="I577" s="901">
        <f>+'Vida Digna'!Z32</f>
        <v>0.90654205607476634</v>
      </c>
      <c r="J577" s="869" t="s">
        <v>2207</v>
      </c>
      <c r="K577" s="873" t="s">
        <v>2004</v>
      </c>
      <c r="P577"/>
    </row>
    <row r="578" spans="1:16" ht="43.8" thickBot="1" x14ac:dyDescent="0.35">
      <c r="A578" s="869" t="s">
        <v>2205</v>
      </c>
      <c r="B578" s="872">
        <f>'[1]PLAN DE DESARROLLO 2024 - 2027'!$K$46</f>
        <v>0.28357478219025023</v>
      </c>
      <c r="C578" s="869" t="s">
        <v>2206</v>
      </c>
      <c r="D578" s="872">
        <f>'[1]PLAN DE DESARROLLO 2024 - 2027'!$K$47</f>
        <v>0.29578926734134092</v>
      </c>
      <c r="E578" s="869" t="s">
        <v>2218</v>
      </c>
      <c r="F578" s="872">
        <f>'[1]PLAN DE DESARROLLO 2024 - 2027'!$K$52</f>
        <v>0.39682005385712021</v>
      </c>
      <c r="G578" s="869" t="s">
        <v>402</v>
      </c>
      <c r="H578" s="869" t="s">
        <v>403</v>
      </c>
      <c r="I578" s="901">
        <f>+'Vida Digna'!Z33</f>
        <v>0.67289719626168221</v>
      </c>
      <c r="J578" s="869" t="s">
        <v>2207</v>
      </c>
      <c r="K578" s="873" t="s">
        <v>2004</v>
      </c>
      <c r="P578"/>
    </row>
    <row r="579" spans="1:16" ht="72.599999999999994" thickBot="1" x14ac:dyDescent="0.35">
      <c r="A579" s="869" t="s">
        <v>2205</v>
      </c>
      <c r="B579" s="872">
        <f>'[1]PLAN DE DESARROLLO 2024 - 2027'!$K$46</f>
        <v>0.28357478219025023</v>
      </c>
      <c r="C579" s="869" t="s">
        <v>2206</v>
      </c>
      <c r="D579" s="872">
        <f>'[1]PLAN DE DESARROLLO 2024 - 2027'!$K$47</f>
        <v>0.29578926734134092</v>
      </c>
      <c r="E579" s="869" t="s">
        <v>2221</v>
      </c>
      <c r="F579" s="872">
        <f>'[1]PLAN DE DESARROLLO 2024 - 2027'!$K$53</f>
        <v>0.14352564102564103</v>
      </c>
      <c r="G579" s="869" t="s">
        <v>404</v>
      </c>
      <c r="H579" s="869" t="s">
        <v>405</v>
      </c>
      <c r="I579" s="901">
        <f>+'Vida Digna'!Z35</f>
        <v>1</v>
      </c>
      <c r="J579" s="869" t="s">
        <v>2207</v>
      </c>
      <c r="K579" s="873" t="s">
        <v>2004</v>
      </c>
      <c r="P579"/>
    </row>
    <row r="580" spans="1:16" ht="29.4" thickBot="1" x14ac:dyDescent="0.35">
      <c r="A580" s="869" t="s">
        <v>2205</v>
      </c>
      <c r="B580" s="872">
        <f>'[1]PLAN DE DESARROLLO 2024 - 2027'!$K$46</f>
        <v>0.28357478219025023</v>
      </c>
      <c r="C580" s="869" t="s">
        <v>2206</v>
      </c>
      <c r="D580" s="872">
        <f>'[1]PLAN DE DESARROLLO 2024 - 2027'!$K$47</f>
        <v>0.29578926734134092</v>
      </c>
      <c r="E580" s="869" t="s">
        <v>2221</v>
      </c>
      <c r="F580" s="872">
        <f>'[1]PLAN DE DESARROLLO 2024 - 2027'!$K$53</f>
        <v>0.14352564102564103</v>
      </c>
      <c r="G580" s="869" t="s">
        <v>406</v>
      </c>
      <c r="H580" s="869" t="s">
        <v>407</v>
      </c>
      <c r="I580" s="901">
        <f>+'Vida Digna'!Z36</f>
        <v>1</v>
      </c>
      <c r="J580" s="869" t="s">
        <v>2207</v>
      </c>
      <c r="K580" s="873" t="s">
        <v>2004</v>
      </c>
      <c r="P580"/>
    </row>
    <row r="581" spans="1:16" ht="58.2" thickBot="1" x14ac:dyDescent="0.35">
      <c r="A581" s="869" t="s">
        <v>2205</v>
      </c>
      <c r="B581" s="872">
        <f>'[1]PLAN DE DESARROLLO 2024 - 2027'!$K$46</f>
        <v>0.28357478219025023</v>
      </c>
      <c r="C581" s="869" t="s">
        <v>2206</v>
      </c>
      <c r="D581" s="872">
        <f>'[1]PLAN DE DESARROLLO 2024 - 2027'!$K$47</f>
        <v>0.29578926734134092</v>
      </c>
      <c r="E581" s="869" t="s">
        <v>2221</v>
      </c>
      <c r="F581" s="872">
        <f>'[1]PLAN DE DESARROLLO 2024 - 2027'!$K$53</f>
        <v>0.14352564102564103</v>
      </c>
      <c r="G581" s="869" t="s">
        <v>408</v>
      </c>
      <c r="H581" s="869" t="s">
        <v>409</v>
      </c>
      <c r="I581" s="901">
        <f>+'Vida Digna'!Z37</f>
        <v>0.23636363636363636</v>
      </c>
      <c r="J581" s="869" t="s">
        <v>2207</v>
      </c>
      <c r="K581" s="873" t="s">
        <v>2004</v>
      </c>
      <c r="P581"/>
    </row>
    <row r="582" spans="1:16" ht="15" thickBot="1" x14ac:dyDescent="0.35">
      <c r="A582" s="869" t="s">
        <v>2205</v>
      </c>
      <c r="B582" s="872">
        <f>'[1]PLAN DE DESARROLLO 2024 - 2027'!$K$46</f>
        <v>0.28357478219025023</v>
      </c>
      <c r="C582" s="869" t="s">
        <v>2206</v>
      </c>
      <c r="D582" s="872">
        <f>'[1]PLAN DE DESARROLLO 2024 - 2027'!$K$47</f>
        <v>0.29578926734134092</v>
      </c>
      <c r="E582" s="869" t="s">
        <v>2221</v>
      </c>
      <c r="F582" s="872">
        <f>'[1]PLAN DE DESARROLLO 2024 - 2027'!$K$53</f>
        <v>0.14352564102564103</v>
      </c>
      <c r="G582" s="869" t="s">
        <v>410</v>
      </c>
      <c r="H582" s="869" t="s">
        <v>411</v>
      </c>
      <c r="I582" s="901">
        <f>+'Vida Digna'!Z38</f>
        <v>0.33333333333333331</v>
      </c>
      <c r="J582" s="869" t="s">
        <v>2207</v>
      </c>
      <c r="K582" s="873" t="s">
        <v>2004</v>
      </c>
      <c r="P582"/>
    </row>
    <row r="583" spans="1:16" ht="29.4" thickBot="1" x14ac:dyDescent="0.35">
      <c r="A583" s="869" t="s">
        <v>2205</v>
      </c>
      <c r="B583" s="872">
        <f>'[1]PLAN DE DESARROLLO 2024 - 2027'!$K$46</f>
        <v>0.28357478219025023</v>
      </c>
      <c r="C583" s="869" t="s">
        <v>2206</v>
      </c>
      <c r="D583" s="872">
        <f>'[1]PLAN DE DESARROLLO 2024 - 2027'!$K$47</f>
        <v>0.29578926734134092</v>
      </c>
      <c r="E583" s="869" t="s">
        <v>1646</v>
      </c>
      <c r="F583" s="872">
        <f>'[1]PLAN DE DESARROLLO 2024 - 2027'!$K$54</f>
        <v>0.453101733447002</v>
      </c>
      <c r="G583" s="869" t="s">
        <v>412</v>
      </c>
      <c r="H583" s="869" t="s">
        <v>413</v>
      </c>
      <c r="I583" s="901">
        <f>+'Vida Digna'!Z40</f>
        <v>1</v>
      </c>
      <c r="J583" s="869" t="s">
        <v>2207</v>
      </c>
      <c r="K583" s="873" t="s">
        <v>2004</v>
      </c>
      <c r="P583"/>
    </row>
    <row r="584" spans="1:16" ht="43.8" thickBot="1" x14ac:dyDescent="0.35">
      <c r="A584" s="869" t="s">
        <v>2205</v>
      </c>
      <c r="B584" s="872">
        <f>'[1]PLAN DE DESARROLLO 2024 - 2027'!$K$46</f>
        <v>0.28357478219025023</v>
      </c>
      <c r="C584" s="869" t="s">
        <v>2206</v>
      </c>
      <c r="D584" s="872">
        <f>'[1]PLAN DE DESARROLLO 2024 - 2027'!$K$47</f>
        <v>0.29578926734134092</v>
      </c>
      <c r="E584" s="869" t="s">
        <v>1646</v>
      </c>
      <c r="F584" s="872">
        <f>'[1]PLAN DE DESARROLLO 2024 - 2027'!$K$54</f>
        <v>0.453101733447002</v>
      </c>
      <c r="G584" s="869" t="s">
        <v>414</v>
      </c>
      <c r="H584" s="869" t="s">
        <v>415</v>
      </c>
      <c r="I584" s="901">
        <f>+'Vida Digna'!Z41</f>
        <v>0.15982097186700767</v>
      </c>
      <c r="J584" s="869" t="s">
        <v>2207</v>
      </c>
      <c r="K584" s="873" t="s">
        <v>2004</v>
      </c>
      <c r="P584"/>
    </row>
    <row r="585" spans="1:16" ht="29.4" thickBot="1" x14ac:dyDescent="0.35">
      <c r="A585" s="869" t="s">
        <v>2205</v>
      </c>
      <c r="B585" s="872">
        <f>'[1]PLAN DE DESARROLLO 2024 - 2027'!$K$46</f>
        <v>0.28357478219025023</v>
      </c>
      <c r="C585" s="869" t="s">
        <v>2206</v>
      </c>
      <c r="D585" s="872">
        <f>'[1]PLAN DE DESARROLLO 2024 - 2027'!$K$47</f>
        <v>0.29578926734134092</v>
      </c>
      <c r="E585" s="869" t="s">
        <v>1646</v>
      </c>
      <c r="F585" s="872">
        <f>'[1]PLAN DE DESARROLLO 2024 - 2027'!$K$54</f>
        <v>0.453101733447002</v>
      </c>
      <c r="G585" s="869" t="s">
        <v>416</v>
      </c>
      <c r="H585" s="869" t="s">
        <v>417</v>
      </c>
      <c r="I585" s="901">
        <f>+'Vida Digna'!Z42</f>
        <v>1</v>
      </c>
      <c r="J585" s="869" t="s">
        <v>2207</v>
      </c>
      <c r="K585" s="873" t="s">
        <v>2004</v>
      </c>
      <c r="P585"/>
    </row>
    <row r="586" spans="1:16" ht="43.8" thickBot="1" x14ac:dyDescent="0.35">
      <c r="A586" s="869" t="s">
        <v>2205</v>
      </c>
      <c r="B586" s="872">
        <f>'[1]PLAN DE DESARROLLO 2024 - 2027'!$K$46</f>
        <v>0.28357478219025023</v>
      </c>
      <c r="C586" s="869" t="s">
        <v>2206</v>
      </c>
      <c r="D586" s="872">
        <f>'[1]PLAN DE DESARROLLO 2024 - 2027'!$K$47</f>
        <v>0.29578926734134092</v>
      </c>
      <c r="E586" s="869" t="s">
        <v>2222</v>
      </c>
      <c r="F586" s="872">
        <f>'[1]PLAN DE DESARROLLO 2024 - 2027'!$K$55</f>
        <v>0.25908045977011496</v>
      </c>
      <c r="G586" s="869" t="s">
        <v>418</v>
      </c>
      <c r="H586" s="869" t="s">
        <v>419</v>
      </c>
      <c r="I586" s="901">
        <f>+'Vida Digna'!Z44</f>
        <v>0.73563218390804597</v>
      </c>
      <c r="J586" s="869" t="s">
        <v>2207</v>
      </c>
      <c r="K586" s="873" t="s">
        <v>2004</v>
      </c>
      <c r="P586"/>
    </row>
    <row r="587" spans="1:16" ht="29.4" thickBot="1" x14ac:dyDescent="0.35">
      <c r="A587" s="869" t="s">
        <v>2205</v>
      </c>
      <c r="B587" s="872">
        <f>'[1]PLAN DE DESARROLLO 2024 - 2027'!$K$46</f>
        <v>0.28357478219025023</v>
      </c>
      <c r="C587" s="869" t="s">
        <v>2206</v>
      </c>
      <c r="D587" s="872">
        <f>'[1]PLAN DE DESARROLLO 2024 - 2027'!$K$47</f>
        <v>0.29578926734134092</v>
      </c>
      <c r="E587" s="869" t="s">
        <v>2222</v>
      </c>
      <c r="F587" s="872">
        <f>'[1]PLAN DE DESARROLLO 2024 - 2027'!$K$55</f>
        <v>0.25908045977011496</v>
      </c>
      <c r="G587" s="869" t="s">
        <v>420</v>
      </c>
      <c r="H587" s="869" t="s">
        <v>421</v>
      </c>
      <c r="I587" s="901">
        <f>+'Vida Digna'!Z45</f>
        <v>9.3023255813953487E-2</v>
      </c>
      <c r="J587" s="869" t="s">
        <v>2207</v>
      </c>
      <c r="K587" s="873" t="s">
        <v>2004</v>
      </c>
      <c r="P587"/>
    </row>
    <row r="588" spans="1:16" ht="29.4" thickBot="1" x14ac:dyDescent="0.35">
      <c r="A588" s="869" t="s">
        <v>2205</v>
      </c>
      <c r="B588" s="872">
        <f>'[1]PLAN DE DESARROLLO 2024 - 2027'!$K$46</f>
        <v>0.28357478219025023</v>
      </c>
      <c r="C588" s="869" t="s">
        <v>2206</v>
      </c>
      <c r="D588" s="872">
        <f>'[1]PLAN DE DESARROLLO 2024 - 2027'!$K$47</f>
        <v>0.29578926734134092</v>
      </c>
      <c r="E588" s="869" t="s">
        <v>2222</v>
      </c>
      <c r="F588" s="872">
        <f>'[1]PLAN DE DESARROLLO 2024 - 2027'!$K$55</f>
        <v>0.25908045977011496</v>
      </c>
      <c r="G588" s="869" t="s">
        <v>422</v>
      </c>
      <c r="H588" s="869" t="s">
        <v>423</v>
      </c>
      <c r="I588" s="901">
        <f>+'Vida Digna'!Z46</f>
        <v>1</v>
      </c>
      <c r="J588" s="869" t="s">
        <v>2207</v>
      </c>
      <c r="K588" s="873" t="s">
        <v>2004</v>
      </c>
      <c r="P588"/>
    </row>
    <row r="589" spans="1:16" ht="15" thickBot="1" x14ac:dyDescent="0.35">
      <c r="A589" s="869" t="s">
        <v>2205</v>
      </c>
      <c r="B589" s="872">
        <f>'[1]PLAN DE DESARROLLO 2024 - 2027'!$K$46</f>
        <v>0.28357478219025023</v>
      </c>
      <c r="C589" s="869" t="s">
        <v>2206</v>
      </c>
      <c r="D589" s="872">
        <f>'[1]PLAN DE DESARROLLO 2024 - 2027'!$K$47</f>
        <v>0.29578926734134092</v>
      </c>
      <c r="E589" s="869" t="s">
        <v>2222</v>
      </c>
      <c r="F589" s="872">
        <f>'[1]PLAN DE DESARROLLO 2024 - 2027'!$K$55</f>
        <v>0.25908045977011496</v>
      </c>
      <c r="G589" s="869" t="s">
        <v>424</v>
      </c>
      <c r="H589" s="869" t="s">
        <v>425</v>
      </c>
      <c r="I589" s="901">
        <f>+'Vida Digna'!Z47</f>
        <v>0.5</v>
      </c>
      <c r="J589" s="869" t="s">
        <v>2207</v>
      </c>
      <c r="K589" s="873" t="s">
        <v>2004</v>
      </c>
      <c r="P589"/>
    </row>
    <row r="590" spans="1:16" ht="29.4" thickBot="1" x14ac:dyDescent="0.35">
      <c r="A590" s="869" t="s">
        <v>2205</v>
      </c>
      <c r="B590" s="872">
        <f>'[1]PLAN DE DESARROLLO 2024 - 2027'!$K$46</f>
        <v>0.28357478219025023</v>
      </c>
      <c r="C590" s="869" t="s">
        <v>2206</v>
      </c>
      <c r="D590" s="872">
        <f>'[1]PLAN DE DESARROLLO 2024 - 2027'!$K$47</f>
        <v>0.29578926734134092</v>
      </c>
      <c r="E590" s="869" t="s">
        <v>2222</v>
      </c>
      <c r="F590" s="872">
        <f>'[1]PLAN DE DESARROLLO 2024 - 2027'!$K$55</f>
        <v>0.25908045977011496</v>
      </c>
      <c r="G590" s="869" t="s">
        <v>426</v>
      </c>
      <c r="H590" s="869" t="s">
        <v>427</v>
      </c>
      <c r="I590" s="901">
        <f>+'Vida Digna'!Z48</f>
        <v>0.26666666666666666</v>
      </c>
      <c r="J590" s="869" t="s">
        <v>2207</v>
      </c>
      <c r="K590" s="873" t="s">
        <v>2004</v>
      </c>
      <c r="P590"/>
    </row>
    <row r="591" spans="1:16" ht="29.4" thickBot="1" x14ac:dyDescent="0.35">
      <c r="A591" s="869" t="s">
        <v>2205</v>
      </c>
      <c r="B591" s="872">
        <f>'[1]PLAN DE DESARROLLO 2024 - 2027'!$K$46</f>
        <v>0.28357478219025023</v>
      </c>
      <c r="C591" s="869" t="s">
        <v>2206</v>
      </c>
      <c r="D591" s="872">
        <f>'[1]PLAN DE DESARROLLO 2024 - 2027'!$K$47</f>
        <v>0.29578926734134092</v>
      </c>
      <c r="E591" s="869" t="s">
        <v>2223</v>
      </c>
      <c r="F591" s="872">
        <f>'[1]PLAN DE DESARROLLO 2024 - 2027'!$K$57</f>
        <v>0.38465732087227411</v>
      </c>
      <c r="G591" s="869" t="s">
        <v>432</v>
      </c>
      <c r="H591" s="869" t="s">
        <v>433</v>
      </c>
      <c r="I591" s="901">
        <f>+'Vida Digna'!Z53</f>
        <v>0.83250000000000002</v>
      </c>
      <c r="J591" s="869" t="s">
        <v>2207</v>
      </c>
      <c r="K591" s="873" t="s">
        <v>2004</v>
      </c>
      <c r="P591"/>
    </row>
    <row r="592" spans="1:16" ht="29.4" thickBot="1" x14ac:dyDescent="0.35">
      <c r="A592" s="869" t="s">
        <v>2205</v>
      </c>
      <c r="B592" s="872">
        <f>'[1]PLAN DE DESARROLLO 2024 - 2027'!$K$46</f>
        <v>0.28357478219025023</v>
      </c>
      <c r="C592" s="869" t="s">
        <v>2206</v>
      </c>
      <c r="D592" s="872">
        <f>'[1]PLAN DE DESARROLLO 2024 - 2027'!$K$47</f>
        <v>0.29578926734134092</v>
      </c>
      <c r="E592" s="869" t="s">
        <v>2223</v>
      </c>
      <c r="F592" s="872">
        <f>'[1]PLAN DE DESARROLLO 2024 - 2027'!$K$57</f>
        <v>0.38465732087227411</v>
      </c>
      <c r="G592" s="869" t="s">
        <v>434</v>
      </c>
      <c r="H592" s="869" t="s">
        <v>435</v>
      </c>
      <c r="I592" s="901">
        <f>+'Vida Digna'!Z54</f>
        <v>1</v>
      </c>
      <c r="J592" s="869" t="s">
        <v>2207</v>
      </c>
      <c r="K592" s="873" t="s">
        <v>2004</v>
      </c>
      <c r="P592"/>
    </row>
    <row r="593" spans="1:16" ht="31.2" customHeight="1" thickBot="1" x14ac:dyDescent="0.35">
      <c r="A593" s="869" t="s">
        <v>2205</v>
      </c>
      <c r="B593" s="872">
        <f>'[1]PLAN DE DESARROLLO 2024 - 2027'!$K$46</f>
        <v>0.28357478219025023</v>
      </c>
      <c r="C593" s="869" t="s">
        <v>2206</v>
      </c>
      <c r="D593" s="872">
        <f>'[1]PLAN DE DESARROLLO 2024 - 2027'!$K$47</f>
        <v>0.29578926734134092</v>
      </c>
      <c r="E593" s="869" t="s">
        <v>2223</v>
      </c>
      <c r="F593" s="872">
        <f>'[1]PLAN DE DESARROLLO 2024 - 2027'!$K$57</f>
        <v>0.38465732087227411</v>
      </c>
      <c r="G593" s="869" t="s">
        <v>436</v>
      </c>
      <c r="H593" s="869" t="s">
        <v>437</v>
      </c>
      <c r="I593" s="901">
        <f>+'Vida Digna'!Z55</f>
        <v>0.5</v>
      </c>
      <c r="J593" s="869" t="s">
        <v>2207</v>
      </c>
      <c r="K593" s="873" t="s">
        <v>2004</v>
      </c>
      <c r="P593"/>
    </row>
    <row r="594" spans="1:16" ht="43.8" thickBot="1" x14ac:dyDescent="0.35">
      <c r="A594" s="869" t="s">
        <v>2205</v>
      </c>
      <c r="B594" s="872">
        <f>'[1]PLAN DE DESARROLLO 2024 - 2027'!$K$46</f>
        <v>0.28357478219025023</v>
      </c>
      <c r="C594" s="869" t="s">
        <v>2206</v>
      </c>
      <c r="D594" s="872">
        <f>'[1]PLAN DE DESARROLLO 2024 - 2027'!$K$47</f>
        <v>0.29578926734134092</v>
      </c>
      <c r="E594" s="869" t="s">
        <v>2224</v>
      </c>
      <c r="F594" s="872">
        <f>'[1]PLAN DE DESARROLLO 2024 - 2027'!$K$58</f>
        <v>0.15194704049844235</v>
      </c>
      <c r="G594" s="869" t="s">
        <v>438</v>
      </c>
      <c r="H594" s="869" t="s">
        <v>439</v>
      </c>
      <c r="I594" s="901">
        <f>+'Vida Digna'!Z57</f>
        <v>0.31775700934579437</v>
      </c>
      <c r="J594" s="869" t="s">
        <v>2207</v>
      </c>
      <c r="K594" s="873" t="s">
        <v>2004</v>
      </c>
      <c r="P594"/>
    </row>
    <row r="595" spans="1:16" ht="29.4" thickBot="1" x14ac:dyDescent="0.35">
      <c r="A595" s="869" t="s">
        <v>2205</v>
      </c>
      <c r="B595" s="872">
        <f>'[1]PLAN DE DESARROLLO 2024 - 2027'!$K$46</f>
        <v>0.28357478219025023</v>
      </c>
      <c r="C595" s="869" t="s">
        <v>2206</v>
      </c>
      <c r="D595" s="872">
        <f>'[1]PLAN DE DESARROLLO 2024 - 2027'!$K$47</f>
        <v>0.29578926734134092</v>
      </c>
      <c r="E595" s="869" t="s">
        <v>2224</v>
      </c>
      <c r="F595" s="872">
        <f>'[1]PLAN DE DESARROLLO 2024 - 2027'!$K$58</f>
        <v>0.15194704049844235</v>
      </c>
      <c r="G595" s="869" t="s">
        <v>440</v>
      </c>
      <c r="H595" s="869" t="s">
        <v>441</v>
      </c>
      <c r="I595" s="901">
        <f>+'Vida Digna'!Z58</f>
        <v>0</v>
      </c>
      <c r="J595" s="869" t="s">
        <v>2207</v>
      </c>
      <c r="K595" s="873" t="s">
        <v>2004</v>
      </c>
      <c r="P595"/>
    </row>
    <row r="596" spans="1:16" ht="43.8" thickBot="1" x14ac:dyDescent="0.35">
      <c r="A596" s="869" t="s">
        <v>2205</v>
      </c>
      <c r="B596" s="872">
        <f>'[1]PLAN DE DESARROLLO 2024 - 2027'!$K$46</f>
        <v>0.28357478219025023</v>
      </c>
      <c r="C596" s="869" t="s">
        <v>2206</v>
      </c>
      <c r="D596" s="872">
        <f>'[1]PLAN DE DESARROLLO 2024 - 2027'!$K$47</f>
        <v>0.29578926734134092</v>
      </c>
      <c r="E596" s="869" t="s">
        <v>2224</v>
      </c>
      <c r="F596" s="872">
        <f>'[1]PLAN DE DESARROLLO 2024 - 2027'!$K$58</f>
        <v>0.15194704049844235</v>
      </c>
      <c r="G596" s="869" t="s">
        <v>2225</v>
      </c>
      <c r="H596" s="869" t="s">
        <v>2226</v>
      </c>
      <c r="I596" s="901">
        <f>+'Vida Digna'!Z59</f>
        <v>0.8</v>
      </c>
      <c r="J596" s="869" t="s">
        <v>2207</v>
      </c>
      <c r="K596" s="873" t="s">
        <v>2004</v>
      </c>
      <c r="P596"/>
    </row>
    <row r="597" spans="1:16" ht="43.8" thickBot="1" x14ac:dyDescent="0.35">
      <c r="A597" s="869" t="s">
        <v>2205</v>
      </c>
      <c r="B597" s="872">
        <f>'[1]PLAN DE DESARROLLO 2024 - 2027'!$K$46</f>
        <v>0.28357478219025023</v>
      </c>
      <c r="C597" s="869" t="s">
        <v>2206</v>
      </c>
      <c r="D597" s="872">
        <f>'[1]PLAN DE DESARROLLO 2024 - 2027'!$K$47</f>
        <v>0.29578926734134092</v>
      </c>
      <c r="E597" s="869" t="s">
        <v>1651</v>
      </c>
      <c r="F597" s="872">
        <f>'[1]PLAN DE DESARROLLO 2024 - 2027'!$K$59</f>
        <v>0.24000359477124183</v>
      </c>
      <c r="G597" s="869" t="s">
        <v>2227</v>
      </c>
      <c r="H597" s="869" t="s">
        <v>2228</v>
      </c>
      <c r="I597" s="901">
        <f>+'Vida Digna'!Z61</f>
        <v>0.28433333333333333</v>
      </c>
      <c r="J597" s="869" t="s">
        <v>2207</v>
      </c>
      <c r="K597" s="873" t="s">
        <v>2004</v>
      </c>
      <c r="P597"/>
    </row>
    <row r="598" spans="1:16" ht="58.2" thickBot="1" x14ac:dyDescent="0.35">
      <c r="A598" s="869" t="s">
        <v>2205</v>
      </c>
      <c r="B598" s="872">
        <f>'[1]PLAN DE DESARROLLO 2024 - 2027'!$K$46</f>
        <v>0.28357478219025023</v>
      </c>
      <c r="C598" s="869" t="s">
        <v>2206</v>
      </c>
      <c r="D598" s="872">
        <f>'[1]PLAN DE DESARROLLO 2024 - 2027'!$K$47</f>
        <v>0.29578926734134092</v>
      </c>
      <c r="E598" s="869" t="s">
        <v>1651</v>
      </c>
      <c r="F598" s="872">
        <f>'[1]PLAN DE DESARROLLO 2024 - 2027'!$K$59</f>
        <v>0.24000359477124183</v>
      </c>
      <c r="G598" s="869" t="s">
        <v>2229</v>
      </c>
      <c r="H598" s="869" t="s">
        <v>2230</v>
      </c>
      <c r="I598" s="901">
        <f>+'Vida Digna'!Z62</f>
        <v>0.36764705882352944</v>
      </c>
      <c r="J598" s="869" t="s">
        <v>2207</v>
      </c>
      <c r="K598" s="873" t="s">
        <v>2004</v>
      </c>
      <c r="P598"/>
    </row>
    <row r="599" spans="1:16" ht="29.4" thickBot="1" x14ac:dyDescent="0.35">
      <c r="A599" s="869" t="s">
        <v>2205</v>
      </c>
      <c r="B599" s="872">
        <f>'[1]PLAN DE DESARROLLO 2024 - 2027'!$K$46</f>
        <v>0.28357478219025023</v>
      </c>
      <c r="C599" s="869" t="s">
        <v>2206</v>
      </c>
      <c r="D599" s="872">
        <f>'[1]PLAN DE DESARROLLO 2024 - 2027'!$K$47</f>
        <v>0.29578926734134092</v>
      </c>
      <c r="E599" s="869" t="s">
        <v>1651</v>
      </c>
      <c r="F599" s="872">
        <f>'[1]PLAN DE DESARROLLO 2024 - 2027'!$K$59</f>
        <v>0.24000359477124183</v>
      </c>
      <c r="G599" s="869" t="s">
        <v>448</v>
      </c>
      <c r="H599" s="869" t="s">
        <v>449</v>
      </c>
      <c r="I599" s="901">
        <f>+'Vida Digna'!Z63</f>
        <v>0.50908333333333333</v>
      </c>
      <c r="J599" s="869" t="s">
        <v>2207</v>
      </c>
      <c r="K599" s="873" t="s">
        <v>2004</v>
      </c>
      <c r="P599"/>
    </row>
    <row r="600" spans="1:16" ht="29.4" thickBot="1" x14ac:dyDescent="0.35">
      <c r="A600" s="869" t="s">
        <v>2205</v>
      </c>
      <c r="B600" s="872">
        <f>'[1]PLAN DE DESARROLLO 2024 - 2027'!$K$46</f>
        <v>0.28357478219025023</v>
      </c>
      <c r="C600" s="869" t="s">
        <v>2206</v>
      </c>
      <c r="D600" s="872">
        <f>'[1]PLAN DE DESARROLLO 2024 - 2027'!$K$47</f>
        <v>0.29578926734134092</v>
      </c>
      <c r="E600" s="869" t="s">
        <v>1651</v>
      </c>
      <c r="F600" s="872">
        <f>'[1]PLAN DE DESARROLLO 2024 - 2027'!$K$59</f>
        <v>0.24000359477124183</v>
      </c>
      <c r="G600" s="869" t="s">
        <v>450</v>
      </c>
      <c r="H600" s="869" t="s">
        <v>451</v>
      </c>
      <c r="I600" s="901">
        <f>+'Vida Digna'!Z64</f>
        <v>0.72</v>
      </c>
      <c r="J600" s="869" t="s">
        <v>2207</v>
      </c>
      <c r="K600" s="873" t="s">
        <v>2004</v>
      </c>
      <c r="P600"/>
    </row>
    <row r="601" spans="1:16" ht="29.4" thickBot="1" x14ac:dyDescent="0.35">
      <c r="A601" s="869" t="s">
        <v>2205</v>
      </c>
      <c r="B601" s="872">
        <f>'[1]PLAN DE DESARROLLO 2024 - 2027'!$K$46</f>
        <v>0.28357478219025023</v>
      </c>
      <c r="C601" s="869" t="s">
        <v>2206</v>
      </c>
      <c r="D601" s="872">
        <f>'[1]PLAN DE DESARROLLO 2024 - 2027'!$K$47</f>
        <v>0.29578926734134092</v>
      </c>
      <c r="E601" s="869" t="s">
        <v>1651</v>
      </c>
      <c r="F601" s="872">
        <f>'[1]PLAN DE DESARROLLO 2024 - 2027'!$K$59</f>
        <v>0.24000359477124183</v>
      </c>
      <c r="G601" s="869" t="s">
        <v>452</v>
      </c>
      <c r="H601" s="869" t="s">
        <v>2231</v>
      </c>
      <c r="I601" s="902">
        <f>+'Vida Digna'!Z65</f>
        <v>0</v>
      </c>
      <c r="J601" s="869" t="s">
        <v>2207</v>
      </c>
      <c r="K601" s="873" t="s">
        <v>2004</v>
      </c>
      <c r="P601"/>
    </row>
    <row r="602" spans="1:16" ht="29.4" thickBot="1" x14ac:dyDescent="0.35">
      <c r="A602" s="869" t="s">
        <v>2205</v>
      </c>
      <c r="B602" s="872">
        <f>'[1]PLAN DE DESARROLLO 2024 - 2027'!$K$46</f>
        <v>0.28357478219025023</v>
      </c>
      <c r="C602" s="869" t="s">
        <v>2206</v>
      </c>
      <c r="D602" s="872">
        <f>'[1]PLAN DE DESARROLLO 2024 - 2027'!$K$47</f>
        <v>0.29578926734134092</v>
      </c>
      <c r="E602" s="869" t="s">
        <v>1651</v>
      </c>
      <c r="F602" s="872">
        <f>'[1]PLAN DE DESARROLLO 2024 - 2027'!$K$59</f>
        <v>0.24000359477124183</v>
      </c>
      <c r="G602" s="869" t="s">
        <v>454</v>
      </c>
      <c r="H602" s="869" t="s">
        <v>2232</v>
      </c>
      <c r="I602" s="901">
        <f>+'Vida Digna'!Z66</f>
        <v>0.314</v>
      </c>
      <c r="J602" s="869" t="s">
        <v>2207</v>
      </c>
      <c r="K602" s="873" t="s">
        <v>2004</v>
      </c>
      <c r="P602"/>
    </row>
    <row r="603" spans="1:16" ht="43.8" thickBot="1" x14ac:dyDescent="0.35">
      <c r="A603" s="869" t="s">
        <v>2205</v>
      </c>
      <c r="B603" s="872">
        <f>'[1]PLAN DE DESARROLLO 2024 - 2027'!$K$46</f>
        <v>0.28357478219025023</v>
      </c>
      <c r="C603" s="869" t="s">
        <v>2206</v>
      </c>
      <c r="D603" s="872">
        <f>'[1]PLAN DE DESARROLLO 2024 - 2027'!$K$47</f>
        <v>0.29578926734134092</v>
      </c>
      <c r="E603" s="869" t="s">
        <v>1651</v>
      </c>
      <c r="F603" s="872">
        <f>'[1]PLAN DE DESARROLLO 2024 - 2027'!$K$59</f>
        <v>0.24000359477124183</v>
      </c>
      <c r="G603" s="869" t="s">
        <v>456</v>
      </c>
      <c r="H603" s="869" t="s">
        <v>457</v>
      </c>
      <c r="I603" s="902">
        <f>+'Vida Digna'!Z67</f>
        <v>0</v>
      </c>
      <c r="J603" s="869" t="s">
        <v>2207</v>
      </c>
      <c r="K603" s="873" t="s">
        <v>2004</v>
      </c>
      <c r="P603"/>
    </row>
    <row r="604" spans="1:16" ht="29.4" thickBot="1" x14ac:dyDescent="0.35">
      <c r="A604" s="869" t="s">
        <v>2205</v>
      </c>
      <c r="B604" s="872">
        <f>'[1]PLAN DE DESARROLLO 2024 - 2027'!$K$46</f>
        <v>0.28357478219025023</v>
      </c>
      <c r="C604" s="869" t="s">
        <v>2206</v>
      </c>
      <c r="D604" s="872">
        <f>'[1]PLAN DE DESARROLLO 2024 - 2027'!$K$47</f>
        <v>0.29578926734134092</v>
      </c>
      <c r="E604" s="869" t="s">
        <v>2233</v>
      </c>
      <c r="F604" s="872">
        <f>'[1]PLAN DE DESARROLLO 2024 - 2027'!$K$60</f>
        <v>0.1677138157894737</v>
      </c>
      <c r="G604" s="869" t="s">
        <v>459</v>
      </c>
      <c r="H604" s="869" t="s">
        <v>2234</v>
      </c>
      <c r="I604" s="901">
        <f>+'Vida Digna'!Z69</f>
        <v>0.41736842105263156</v>
      </c>
      <c r="J604" s="869" t="s">
        <v>2207</v>
      </c>
      <c r="K604" s="873" t="s">
        <v>2004</v>
      </c>
      <c r="P604"/>
    </row>
    <row r="605" spans="1:16" ht="43.8" thickBot="1" x14ac:dyDescent="0.35">
      <c r="A605" s="869" t="s">
        <v>2205</v>
      </c>
      <c r="B605" s="872">
        <f>'[1]PLAN DE DESARROLLO 2024 - 2027'!$K$46</f>
        <v>0.28357478219025023</v>
      </c>
      <c r="C605" s="869" t="s">
        <v>2206</v>
      </c>
      <c r="D605" s="872">
        <f>'[1]PLAN DE DESARROLLO 2024 - 2027'!$K$47</f>
        <v>0.29578926734134092</v>
      </c>
      <c r="E605" s="869" t="s">
        <v>2233</v>
      </c>
      <c r="F605" s="872">
        <f>'[1]PLAN DE DESARROLLO 2024 - 2027'!$K$60</f>
        <v>0.1677138157894737</v>
      </c>
      <c r="G605" s="869" t="s">
        <v>461</v>
      </c>
      <c r="H605" s="869" t="s">
        <v>462</v>
      </c>
      <c r="I605" s="901">
        <f>+'Vida Digna'!Z70</f>
        <v>0.501</v>
      </c>
      <c r="J605" s="869" t="s">
        <v>2207</v>
      </c>
      <c r="K605" s="873" t="s">
        <v>2004</v>
      </c>
      <c r="P605"/>
    </row>
    <row r="606" spans="1:16" ht="29.4" thickBot="1" x14ac:dyDescent="0.35">
      <c r="A606" s="869" t="s">
        <v>2205</v>
      </c>
      <c r="B606" s="872">
        <f>'[1]PLAN DE DESARROLLO 2024 - 2027'!$K$46</f>
        <v>0.28357478219025023</v>
      </c>
      <c r="C606" s="869" t="s">
        <v>2206</v>
      </c>
      <c r="D606" s="872">
        <f>'[1]PLAN DE DESARROLLO 2024 - 2027'!$K$47</f>
        <v>0.29578926734134092</v>
      </c>
      <c r="E606" s="869" t="s">
        <v>2233</v>
      </c>
      <c r="F606" s="872">
        <f>'[1]PLAN DE DESARROLLO 2024 - 2027'!$K$60</f>
        <v>0.1677138157894737</v>
      </c>
      <c r="G606" s="869" t="s">
        <v>463</v>
      </c>
      <c r="H606" s="869" t="s">
        <v>464</v>
      </c>
      <c r="I606" s="901">
        <f>+'Vida Digna'!Z71</f>
        <v>0.5</v>
      </c>
      <c r="J606" s="869" t="s">
        <v>2207</v>
      </c>
      <c r="K606" s="873" t="s">
        <v>2004</v>
      </c>
      <c r="P606"/>
    </row>
    <row r="607" spans="1:16" ht="29.4" thickBot="1" x14ac:dyDescent="0.35">
      <c r="A607" s="869" t="s">
        <v>2205</v>
      </c>
      <c r="B607" s="872">
        <f>'[1]PLAN DE DESARROLLO 2024 - 2027'!$K$46</f>
        <v>0.28357478219025023</v>
      </c>
      <c r="C607" s="869" t="s">
        <v>2206</v>
      </c>
      <c r="D607" s="872">
        <f>'[1]PLAN DE DESARROLLO 2024 - 2027'!$K$47</f>
        <v>0.29578926734134092</v>
      </c>
      <c r="E607" s="869" t="s">
        <v>2233</v>
      </c>
      <c r="F607" s="872">
        <f>'[1]PLAN DE DESARROLLO 2024 - 2027'!$K$60</f>
        <v>0.1677138157894737</v>
      </c>
      <c r="G607" s="869" t="s">
        <v>2235</v>
      </c>
      <c r="H607" s="869" t="s">
        <v>2236</v>
      </c>
      <c r="I607" s="901">
        <f>+'Vida Digna'!Z72</f>
        <v>0.32500000000000001</v>
      </c>
      <c r="J607" s="869" t="s">
        <v>2207</v>
      </c>
      <c r="K607" s="873" t="s">
        <v>2004</v>
      </c>
      <c r="P607"/>
    </row>
    <row r="608" spans="1:16" ht="29.4" thickBot="1" x14ac:dyDescent="0.35">
      <c r="A608" s="869" t="s">
        <v>2205</v>
      </c>
      <c r="B608" s="872">
        <f>'[1]PLAN DE DESARROLLO 2024 - 2027'!$K$46</f>
        <v>0.28357478219025023</v>
      </c>
      <c r="C608" s="869" t="s">
        <v>2206</v>
      </c>
      <c r="D608" s="872">
        <f>'[1]PLAN DE DESARROLLO 2024 - 2027'!$K$47</f>
        <v>0.29578926734134092</v>
      </c>
      <c r="E608" s="869" t="s">
        <v>1652</v>
      </c>
      <c r="F608" s="872">
        <f>'[1]PLAN DE DESARROLLO 2024 - 2027'!$K$61</f>
        <v>0.27882352941176475</v>
      </c>
      <c r="G608" s="869" t="s">
        <v>467</v>
      </c>
      <c r="H608" s="869" t="s">
        <v>468</v>
      </c>
      <c r="I608" s="901">
        <f>+'Vida Digna'!Z74</f>
        <v>1</v>
      </c>
      <c r="J608" s="869" t="s">
        <v>2207</v>
      </c>
      <c r="K608" s="873" t="s">
        <v>2004</v>
      </c>
      <c r="P608"/>
    </row>
    <row r="609" spans="1:16" ht="29.4" thickBot="1" x14ac:dyDescent="0.35">
      <c r="A609" s="869" t="s">
        <v>2205</v>
      </c>
      <c r="B609" s="872">
        <f>'[1]PLAN DE DESARROLLO 2024 - 2027'!$K$46</f>
        <v>0.28357478219025023</v>
      </c>
      <c r="C609" s="869" t="s">
        <v>2206</v>
      </c>
      <c r="D609" s="872">
        <f>'[1]PLAN DE DESARROLLO 2024 - 2027'!$K$47</f>
        <v>0.29578926734134092</v>
      </c>
      <c r="E609" s="869" t="s">
        <v>1652</v>
      </c>
      <c r="F609" s="872">
        <f>'[1]PLAN DE DESARROLLO 2024 - 2027'!$K$61</f>
        <v>0.27882352941176475</v>
      </c>
      <c r="G609" s="869" t="s">
        <v>469</v>
      </c>
      <c r="H609" s="869" t="s">
        <v>470</v>
      </c>
      <c r="I609" s="901">
        <f>+'Vida Digna'!Z75</f>
        <v>0.25</v>
      </c>
      <c r="J609" s="869" t="s">
        <v>2207</v>
      </c>
      <c r="K609" s="873" t="s">
        <v>2004</v>
      </c>
      <c r="P609"/>
    </row>
    <row r="610" spans="1:16" ht="29.4" thickBot="1" x14ac:dyDescent="0.35">
      <c r="A610" s="869" t="s">
        <v>2205</v>
      </c>
      <c r="B610" s="872">
        <f>'[1]PLAN DE DESARROLLO 2024 - 2027'!$K$46</f>
        <v>0.28357478219025023</v>
      </c>
      <c r="C610" s="869" t="s">
        <v>2206</v>
      </c>
      <c r="D610" s="872">
        <f>'[1]PLAN DE DESARROLLO 2024 - 2027'!$K$47</f>
        <v>0.29578926734134092</v>
      </c>
      <c r="E610" s="869" t="s">
        <v>1652</v>
      </c>
      <c r="F610" s="872">
        <f>'[1]PLAN DE DESARROLLO 2024 - 2027'!$K$61</f>
        <v>0.27882352941176475</v>
      </c>
      <c r="G610" s="869" t="s">
        <v>471</v>
      </c>
      <c r="H610" s="869" t="s">
        <v>472</v>
      </c>
      <c r="I610" s="901">
        <f>+'Vida Digna'!Z76</f>
        <v>0.29411764705882354</v>
      </c>
      <c r="J610" s="869" t="s">
        <v>2207</v>
      </c>
      <c r="K610" s="873" t="s">
        <v>2004</v>
      </c>
      <c r="P610"/>
    </row>
    <row r="611" spans="1:16" ht="29.4" thickBot="1" x14ac:dyDescent="0.35">
      <c r="A611" s="869" t="s">
        <v>2205</v>
      </c>
      <c r="B611" s="872">
        <f>'[1]PLAN DE DESARROLLO 2024 - 2027'!$K$46</f>
        <v>0.28357478219025023</v>
      </c>
      <c r="C611" s="869" t="s">
        <v>2206</v>
      </c>
      <c r="D611" s="872">
        <f>'[1]PLAN DE DESARROLLO 2024 - 2027'!$K$47</f>
        <v>0.29578926734134092</v>
      </c>
      <c r="E611" s="869" t="s">
        <v>1654</v>
      </c>
      <c r="F611" s="872">
        <f>'[1]PLAN DE DESARROLLO 2024 - 2027'!$K$63</f>
        <v>0.66756944444444444</v>
      </c>
      <c r="G611" s="869" t="s">
        <v>488</v>
      </c>
      <c r="H611" s="869" t="s">
        <v>489</v>
      </c>
      <c r="I611" s="901">
        <f>+'Vida Digna'!Z86</f>
        <v>0.41125</v>
      </c>
      <c r="J611" s="869" t="s">
        <v>490</v>
      </c>
      <c r="K611" s="873" t="s">
        <v>2004</v>
      </c>
      <c r="P611"/>
    </row>
    <row r="612" spans="1:16" ht="29.4" thickBot="1" x14ac:dyDescent="0.35">
      <c r="A612" s="869" t="s">
        <v>2205</v>
      </c>
      <c r="B612" s="872">
        <f>'[1]PLAN DE DESARROLLO 2024 - 2027'!$K$46</f>
        <v>0.28357478219025023</v>
      </c>
      <c r="C612" s="869" t="s">
        <v>2206</v>
      </c>
      <c r="D612" s="872">
        <f>'[1]PLAN DE DESARROLLO 2024 - 2027'!$K$47</f>
        <v>0.29578926734134092</v>
      </c>
      <c r="E612" s="869" t="s">
        <v>1654</v>
      </c>
      <c r="F612" s="872">
        <f>'[1]PLAN DE DESARROLLO 2024 - 2027'!$K$63</f>
        <v>0.66756944444444444</v>
      </c>
      <c r="G612" s="869" t="s">
        <v>491</v>
      </c>
      <c r="H612" s="869" t="s">
        <v>492</v>
      </c>
      <c r="I612" s="901">
        <f>+'Vida Digna'!Z87</f>
        <v>0.75</v>
      </c>
      <c r="J612" s="869" t="s">
        <v>490</v>
      </c>
      <c r="K612" s="873" t="s">
        <v>2004</v>
      </c>
      <c r="P612"/>
    </row>
    <row r="613" spans="1:16" ht="29.4" thickBot="1" x14ac:dyDescent="0.35">
      <c r="A613" s="869" t="s">
        <v>2205</v>
      </c>
      <c r="B613" s="872">
        <f>'[1]PLAN DE DESARROLLO 2024 - 2027'!$K$46</f>
        <v>0.28357478219025023</v>
      </c>
      <c r="C613" s="869" t="s">
        <v>2206</v>
      </c>
      <c r="D613" s="872">
        <f>'[1]PLAN DE DESARROLLO 2024 - 2027'!$K$47</f>
        <v>0.29578926734134092</v>
      </c>
      <c r="E613" s="869" t="s">
        <v>1654</v>
      </c>
      <c r="F613" s="872">
        <f>'[1]PLAN DE DESARROLLO 2024 - 2027'!$K$63</f>
        <v>0.66756944444444444</v>
      </c>
      <c r="G613" s="869" t="s">
        <v>493</v>
      </c>
      <c r="H613" s="869" t="s">
        <v>494</v>
      </c>
      <c r="I613" s="901">
        <f>+'Vida Digna'!Z88</f>
        <v>0.95416666666666672</v>
      </c>
      <c r="J613" s="869" t="s">
        <v>490</v>
      </c>
      <c r="K613" s="873" t="s">
        <v>2004</v>
      </c>
      <c r="P613"/>
    </row>
    <row r="614" spans="1:16" ht="29.4" thickBot="1" x14ac:dyDescent="0.35">
      <c r="A614" s="869" t="s">
        <v>2205</v>
      </c>
      <c r="B614" s="872">
        <f>'[1]PLAN DE DESARROLLO 2024 - 2027'!$K$46</f>
        <v>0.28357478219025023</v>
      </c>
      <c r="C614" s="869" t="s">
        <v>2206</v>
      </c>
      <c r="D614" s="872">
        <f>'[1]PLAN DE DESARROLLO 2024 - 2027'!$K$47</f>
        <v>0.29578926734134092</v>
      </c>
      <c r="E614" s="869" t="s">
        <v>1654</v>
      </c>
      <c r="F614" s="872">
        <f>'[1]PLAN DE DESARROLLO 2024 - 2027'!$K$63</f>
        <v>0.66756944444444444</v>
      </c>
      <c r="G614" s="869" t="s">
        <v>495</v>
      </c>
      <c r="H614" s="869" t="s">
        <v>496</v>
      </c>
      <c r="I614" s="901">
        <f>+'Vida Digna'!Z89</f>
        <v>1</v>
      </c>
      <c r="J614" s="869" t="s">
        <v>490</v>
      </c>
      <c r="K614" s="873" t="s">
        <v>2004</v>
      </c>
      <c r="P614"/>
    </row>
    <row r="615" spans="1:16" ht="15" thickBot="1" x14ac:dyDescent="0.35">
      <c r="A615" s="869" t="s">
        <v>2205</v>
      </c>
      <c r="B615" s="872">
        <f>'[1]PLAN DE DESARROLLO 2024 - 2027'!$K$46</f>
        <v>0.28357478219025023</v>
      </c>
      <c r="C615" s="869" t="s">
        <v>2206</v>
      </c>
      <c r="D615" s="872">
        <f>'[1]PLAN DE DESARROLLO 2024 - 2027'!$K$47</f>
        <v>0.29578926734134092</v>
      </c>
      <c r="E615" s="869" t="s">
        <v>1654</v>
      </c>
      <c r="F615" s="872">
        <f>'[1]PLAN DE DESARROLLO 2024 - 2027'!$K$63</f>
        <v>0.66756944444444444</v>
      </c>
      <c r="G615" s="869" t="s">
        <v>497</v>
      </c>
      <c r="H615" s="869" t="s">
        <v>498</v>
      </c>
      <c r="I615" s="901">
        <f>+'Vida Digna'!Z90</f>
        <v>0.66666666666666663</v>
      </c>
      <c r="J615" s="869" t="s">
        <v>490</v>
      </c>
      <c r="K615" s="873" t="s">
        <v>2004</v>
      </c>
      <c r="P615"/>
    </row>
    <row r="616" spans="1:16" ht="29.4" thickBot="1" x14ac:dyDescent="0.35">
      <c r="A616" s="869" t="s">
        <v>2205</v>
      </c>
      <c r="B616" s="872">
        <f>'[1]PLAN DE DESARROLLO 2024 - 2027'!$K$46</f>
        <v>0.28357478219025023</v>
      </c>
      <c r="C616" s="869" t="s">
        <v>2237</v>
      </c>
      <c r="D616" s="872">
        <f>'[1]PLAN DE DESARROLLO 2024 - 2027'!$K$64</f>
        <v>0.22921261370670454</v>
      </c>
      <c r="E616" s="869" t="s">
        <v>1656</v>
      </c>
      <c r="F616" s="872">
        <f>'[1]PLAN DE DESARROLLO 2024 - 2027'!$K$65</f>
        <v>0.35563784112011365</v>
      </c>
      <c r="G616" s="869" t="s">
        <v>499</v>
      </c>
      <c r="H616" s="869" t="s">
        <v>500</v>
      </c>
      <c r="I616" s="901">
        <f>+'Vida Digna'!Z93</f>
        <v>4.5201668984700974E-2</v>
      </c>
      <c r="J616" s="869" t="s">
        <v>2238</v>
      </c>
      <c r="K616" s="873" t="s">
        <v>2004</v>
      </c>
      <c r="P616"/>
    </row>
    <row r="617" spans="1:16" ht="29.4" thickBot="1" x14ac:dyDescent="0.35">
      <c r="A617" s="869" t="s">
        <v>2205</v>
      </c>
      <c r="B617" s="872">
        <f>'[1]PLAN DE DESARROLLO 2024 - 2027'!$K$46</f>
        <v>0.28357478219025023</v>
      </c>
      <c r="C617" s="869" t="s">
        <v>2237</v>
      </c>
      <c r="D617" s="872">
        <f>'[1]PLAN DE DESARROLLO 2024 - 2027'!$K$64</f>
        <v>0.22921261370670454</v>
      </c>
      <c r="E617" s="869" t="s">
        <v>1656</v>
      </c>
      <c r="F617" s="872">
        <f>'[1]PLAN DE DESARROLLO 2024 - 2027'!$K$65</f>
        <v>0.35563784112011365</v>
      </c>
      <c r="G617" s="869" t="s">
        <v>502</v>
      </c>
      <c r="H617" s="869" t="s">
        <v>503</v>
      </c>
      <c r="I617" s="901">
        <f>+'Vida Digna'!Z94</f>
        <v>8.8888888888888892E-2</v>
      </c>
      <c r="J617" s="869" t="s">
        <v>2238</v>
      </c>
      <c r="K617" s="873" t="s">
        <v>2004</v>
      </c>
      <c r="P617"/>
    </row>
    <row r="618" spans="1:16" ht="29.4" thickBot="1" x14ac:dyDescent="0.35">
      <c r="A618" s="869" t="s">
        <v>2205</v>
      </c>
      <c r="B618" s="872">
        <f>'[1]PLAN DE DESARROLLO 2024 - 2027'!$K$46</f>
        <v>0.28357478219025023</v>
      </c>
      <c r="C618" s="869" t="s">
        <v>2237</v>
      </c>
      <c r="D618" s="872">
        <f>'[1]PLAN DE DESARROLLO 2024 - 2027'!$K$64</f>
        <v>0.22921261370670454</v>
      </c>
      <c r="E618" s="869" t="s">
        <v>1656</v>
      </c>
      <c r="F618" s="872">
        <f>'[1]PLAN DE DESARROLLO 2024 - 2027'!$K$65</f>
        <v>0.35563784112011365</v>
      </c>
      <c r="G618" s="869" t="s">
        <v>504</v>
      </c>
      <c r="H618" s="869" t="s">
        <v>505</v>
      </c>
      <c r="I618" s="901">
        <f>+'Vida Digna'!Z95</f>
        <v>1</v>
      </c>
      <c r="J618" s="869" t="s">
        <v>2238</v>
      </c>
      <c r="K618" s="873" t="s">
        <v>2004</v>
      </c>
      <c r="P618"/>
    </row>
    <row r="619" spans="1:16" ht="43.8" thickBot="1" x14ac:dyDescent="0.35">
      <c r="A619" s="869" t="s">
        <v>2205</v>
      </c>
      <c r="B619" s="872">
        <f>'[1]PLAN DE DESARROLLO 2024 - 2027'!$K$46</f>
        <v>0.28357478219025023</v>
      </c>
      <c r="C619" s="869" t="s">
        <v>2237</v>
      </c>
      <c r="D619" s="872">
        <f>'[1]PLAN DE DESARROLLO 2024 - 2027'!$K$64</f>
        <v>0.22921261370670454</v>
      </c>
      <c r="E619" s="869" t="s">
        <v>1656</v>
      </c>
      <c r="F619" s="872">
        <f>'[1]PLAN DE DESARROLLO 2024 - 2027'!$K$65</f>
        <v>0.35563784112011365</v>
      </c>
      <c r="G619" s="869" t="s">
        <v>506</v>
      </c>
      <c r="H619" s="869" t="s">
        <v>507</v>
      </c>
      <c r="I619" s="901">
        <f>+'Vida Digna'!Z96</f>
        <v>0.45442959001782529</v>
      </c>
      <c r="J619" s="869" t="s">
        <v>2238</v>
      </c>
      <c r="K619" s="873" t="s">
        <v>2004</v>
      </c>
      <c r="P619"/>
    </row>
    <row r="620" spans="1:16" ht="29.4" thickBot="1" x14ac:dyDescent="0.35">
      <c r="A620" s="869" t="s">
        <v>2205</v>
      </c>
      <c r="B620" s="872">
        <f>'[1]PLAN DE DESARROLLO 2024 - 2027'!$K$46</f>
        <v>0.28357478219025023</v>
      </c>
      <c r="C620" s="869" t="s">
        <v>2237</v>
      </c>
      <c r="D620" s="872">
        <f>'[1]PLAN DE DESARROLLO 2024 - 2027'!$K$64</f>
        <v>0.22921261370670454</v>
      </c>
      <c r="E620" s="869" t="s">
        <v>1656</v>
      </c>
      <c r="F620" s="872">
        <f>'[1]PLAN DE DESARROLLO 2024 - 2027'!$K$65</f>
        <v>0.35563784112011365</v>
      </c>
      <c r="G620" s="869" t="s">
        <v>508</v>
      </c>
      <c r="H620" s="869" t="s">
        <v>509</v>
      </c>
      <c r="I620" s="901">
        <f>+'Vida Digna'!Z97</f>
        <v>0.61231294729993491</v>
      </c>
      <c r="J620" s="869" t="s">
        <v>2238</v>
      </c>
      <c r="K620" s="873" t="s">
        <v>2004</v>
      </c>
      <c r="P620"/>
    </row>
    <row r="621" spans="1:16" ht="29.4" thickBot="1" x14ac:dyDescent="0.35">
      <c r="A621" s="869" t="s">
        <v>2205</v>
      </c>
      <c r="B621" s="872">
        <f>'[1]PLAN DE DESARROLLO 2024 - 2027'!$K$46</f>
        <v>0.28357478219025023</v>
      </c>
      <c r="C621" s="869" t="s">
        <v>2237</v>
      </c>
      <c r="D621" s="872">
        <f>'[1]PLAN DE DESARROLLO 2024 - 2027'!$K$64</f>
        <v>0.22921261370670454</v>
      </c>
      <c r="E621" s="869" t="s">
        <v>1656</v>
      </c>
      <c r="F621" s="872">
        <f>'[1]PLAN DE DESARROLLO 2024 - 2027'!$K$65</f>
        <v>0.35563784112011365</v>
      </c>
      <c r="G621" s="869" t="s">
        <v>510</v>
      </c>
      <c r="H621" s="869" t="s">
        <v>511</v>
      </c>
      <c r="I621" s="901">
        <f>+'Vida Digna'!Z98</f>
        <v>0.27364864864864863</v>
      </c>
      <c r="J621" s="869" t="s">
        <v>2238</v>
      </c>
      <c r="K621" s="873" t="s">
        <v>2004</v>
      </c>
      <c r="P621"/>
    </row>
    <row r="622" spans="1:16" ht="29.4" thickBot="1" x14ac:dyDescent="0.35">
      <c r="A622" s="869" t="s">
        <v>2205</v>
      </c>
      <c r="B622" s="872">
        <f>'[1]PLAN DE DESARROLLO 2024 - 2027'!$K$46</f>
        <v>0.28357478219025023</v>
      </c>
      <c r="C622" s="869" t="s">
        <v>2237</v>
      </c>
      <c r="D622" s="872">
        <f>'[1]PLAN DE DESARROLLO 2024 - 2027'!$K$64</f>
        <v>0.22921261370670454</v>
      </c>
      <c r="E622" s="869" t="s">
        <v>1656</v>
      </c>
      <c r="F622" s="872">
        <f>'[1]PLAN DE DESARROLLO 2024 - 2027'!$K$65</f>
        <v>0.35563784112011365</v>
      </c>
      <c r="G622" s="869" t="s">
        <v>512</v>
      </c>
      <c r="H622" s="869" t="s">
        <v>513</v>
      </c>
      <c r="I622" s="901">
        <f>+'Vida Digna'!Z99</f>
        <v>1</v>
      </c>
      <c r="J622" s="869" t="s">
        <v>2238</v>
      </c>
      <c r="K622" s="873" t="s">
        <v>2004</v>
      </c>
      <c r="P622"/>
    </row>
    <row r="623" spans="1:16" ht="87" thickBot="1" x14ac:dyDescent="0.35">
      <c r="A623" s="869" t="s">
        <v>2205</v>
      </c>
      <c r="B623" s="872">
        <f>'[1]PLAN DE DESARROLLO 2024 - 2027'!$K$46</f>
        <v>0.28357478219025023</v>
      </c>
      <c r="C623" s="869" t="s">
        <v>2237</v>
      </c>
      <c r="D623" s="872">
        <f>'[1]PLAN DE DESARROLLO 2024 - 2027'!$K$64</f>
        <v>0.22921261370670454</v>
      </c>
      <c r="E623" s="869" t="s">
        <v>1656</v>
      </c>
      <c r="F623" s="872">
        <f>'[1]PLAN DE DESARROLLO 2024 - 2027'!$K$65</f>
        <v>0.35563784112011365</v>
      </c>
      <c r="G623" s="869" t="s">
        <v>514</v>
      </c>
      <c r="H623" s="869" t="s">
        <v>2239</v>
      </c>
      <c r="I623" s="901">
        <f>+'Vida Digna'!Z100</f>
        <v>0.47916630915710684</v>
      </c>
      <c r="J623" s="869" t="s">
        <v>516</v>
      </c>
      <c r="K623" s="873" t="s">
        <v>2004</v>
      </c>
      <c r="P623"/>
    </row>
    <row r="624" spans="1:16" ht="29.4" thickBot="1" x14ac:dyDescent="0.35">
      <c r="A624" s="869" t="s">
        <v>2205</v>
      </c>
      <c r="B624" s="872">
        <f>'[1]PLAN DE DESARROLLO 2024 - 2027'!$K$46</f>
        <v>0.28357478219025023</v>
      </c>
      <c r="C624" s="869" t="s">
        <v>2237</v>
      </c>
      <c r="D624" s="872">
        <f>'[1]PLAN DE DESARROLLO 2024 - 2027'!$K$64</f>
        <v>0.22921261370670454</v>
      </c>
      <c r="E624" s="869" t="s">
        <v>1657</v>
      </c>
      <c r="F624" s="872">
        <f>'[1]PLAN DE DESARROLLO 2024 - 2027'!$K$66</f>
        <v>0.14152380952380952</v>
      </c>
      <c r="G624" s="869" t="s">
        <v>517</v>
      </c>
      <c r="H624" s="869" t="s">
        <v>518</v>
      </c>
      <c r="I624" s="901">
        <f>+'Vida Digna'!Z102</f>
        <v>0.79214285714285715</v>
      </c>
      <c r="J624" s="869" t="s">
        <v>2238</v>
      </c>
      <c r="K624" s="873" t="s">
        <v>2004</v>
      </c>
      <c r="P624"/>
    </row>
    <row r="625" spans="1:16" ht="29.4" thickBot="1" x14ac:dyDescent="0.35">
      <c r="A625" s="869" t="s">
        <v>2205</v>
      </c>
      <c r="B625" s="872">
        <f>'[1]PLAN DE DESARROLLO 2024 - 2027'!$K$46</f>
        <v>0.28357478219025023</v>
      </c>
      <c r="C625" s="869" t="s">
        <v>2237</v>
      </c>
      <c r="D625" s="872">
        <f>'[1]PLAN DE DESARROLLO 2024 - 2027'!$K$64</f>
        <v>0.22921261370670454</v>
      </c>
      <c r="E625" s="869" t="s">
        <v>1657</v>
      </c>
      <c r="F625" s="872">
        <f>'[1]PLAN DE DESARROLLO 2024 - 2027'!$K$66</f>
        <v>0.14152380952380952</v>
      </c>
      <c r="G625" s="869" t="s">
        <v>519</v>
      </c>
      <c r="H625" s="869" t="s">
        <v>520</v>
      </c>
      <c r="I625" s="901">
        <f>+'Vida Digna'!Z103</f>
        <v>7.4999999999999997E-2</v>
      </c>
      <c r="J625" s="869" t="s">
        <v>2238</v>
      </c>
      <c r="K625" s="873" t="s">
        <v>2004</v>
      </c>
      <c r="P625"/>
    </row>
    <row r="626" spans="1:16" ht="29.4" thickBot="1" x14ac:dyDescent="0.35">
      <c r="A626" s="869" t="s">
        <v>2205</v>
      </c>
      <c r="B626" s="872">
        <f>'[1]PLAN DE DESARROLLO 2024 - 2027'!$K$46</f>
        <v>0.28357478219025023</v>
      </c>
      <c r="C626" s="869" t="s">
        <v>2237</v>
      </c>
      <c r="D626" s="872">
        <f>'[1]PLAN DE DESARROLLO 2024 - 2027'!$K$64</f>
        <v>0.22921261370670454</v>
      </c>
      <c r="E626" s="869" t="s">
        <v>1657</v>
      </c>
      <c r="F626" s="872">
        <f>'[1]PLAN DE DESARROLLO 2024 - 2027'!$K$66</f>
        <v>0.14152380952380952</v>
      </c>
      <c r="G626" s="869" t="s">
        <v>521</v>
      </c>
      <c r="H626" s="869" t="s">
        <v>522</v>
      </c>
      <c r="I626" s="901">
        <f>+'Vida Digna'!Z104</f>
        <v>0.2</v>
      </c>
      <c r="J626" s="869" t="s">
        <v>516</v>
      </c>
      <c r="K626" s="873" t="s">
        <v>2004</v>
      </c>
      <c r="P626"/>
    </row>
    <row r="627" spans="1:16" ht="29.4" thickBot="1" x14ac:dyDescent="0.35">
      <c r="A627" s="869" t="s">
        <v>2205</v>
      </c>
      <c r="B627" s="872">
        <f>'[1]PLAN DE DESARROLLO 2024 - 2027'!$K$46</f>
        <v>0.28357478219025023</v>
      </c>
      <c r="C627" s="869" t="s">
        <v>2237</v>
      </c>
      <c r="D627" s="872">
        <f>'[1]PLAN DE DESARROLLO 2024 - 2027'!$K$64</f>
        <v>0.22921261370670454</v>
      </c>
      <c r="E627" s="869" t="s">
        <v>1657</v>
      </c>
      <c r="F627" s="872">
        <f>'[1]PLAN DE DESARROLLO 2024 - 2027'!$K$66</f>
        <v>0.14152380952380952</v>
      </c>
      <c r="G627" s="869" t="s">
        <v>523</v>
      </c>
      <c r="H627" s="869" t="s">
        <v>524</v>
      </c>
      <c r="I627" s="902">
        <f>+'Vida Digna'!Z105</f>
        <v>0</v>
      </c>
      <c r="J627" s="869" t="s">
        <v>516</v>
      </c>
      <c r="K627" s="873" t="s">
        <v>2004</v>
      </c>
      <c r="P627"/>
    </row>
    <row r="628" spans="1:16" ht="29.4" thickBot="1" x14ac:dyDescent="0.35">
      <c r="A628" s="869" t="s">
        <v>2205</v>
      </c>
      <c r="B628" s="872">
        <f>'[1]PLAN DE DESARROLLO 2024 - 2027'!$K$46</f>
        <v>0.28357478219025023</v>
      </c>
      <c r="C628" s="869" t="s">
        <v>2237</v>
      </c>
      <c r="D628" s="872">
        <f>'[1]PLAN DE DESARROLLO 2024 - 2027'!$K$64</f>
        <v>0.22921261370670454</v>
      </c>
      <c r="E628" s="869" t="s">
        <v>1658</v>
      </c>
      <c r="F628" s="872">
        <f>'[1]PLAN DE DESARROLLO 2024 - 2027'!$K$67</f>
        <v>0.19047619047619047</v>
      </c>
      <c r="G628" s="869" t="s">
        <v>525</v>
      </c>
      <c r="H628" s="869" t="s">
        <v>526</v>
      </c>
      <c r="I628" s="901">
        <f>+'Vida Digna'!Z107</f>
        <v>1</v>
      </c>
      <c r="J628" s="869" t="s">
        <v>516</v>
      </c>
      <c r="K628" s="873" t="s">
        <v>2004</v>
      </c>
      <c r="P628"/>
    </row>
    <row r="629" spans="1:16" ht="43.8" thickBot="1" x14ac:dyDescent="0.35">
      <c r="A629" s="869" t="s">
        <v>2205</v>
      </c>
      <c r="B629" s="872">
        <f>'[1]PLAN DE DESARROLLO 2024 - 2027'!$K$46</f>
        <v>0.28357478219025023</v>
      </c>
      <c r="C629" s="869" t="s">
        <v>2237</v>
      </c>
      <c r="D629" s="872">
        <f>'[1]PLAN DE DESARROLLO 2024 - 2027'!$K$64</f>
        <v>0.22921261370670454</v>
      </c>
      <c r="E629" s="869" t="s">
        <v>1658</v>
      </c>
      <c r="F629" s="872">
        <f>'[1]PLAN DE DESARROLLO 2024 - 2027'!$K$67</f>
        <v>0.19047619047619047</v>
      </c>
      <c r="G629" s="869" t="s">
        <v>527</v>
      </c>
      <c r="H629" s="869" t="s">
        <v>528</v>
      </c>
      <c r="I629" s="901">
        <f>+'Vida Digna'!Z108</f>
        <v>0.5</v>
      </c>
      <c r="J629" s="869" t="s">
        <v>516</v>
      </c>
      <c r="K629" s="873" t="s">
        <v>2004</v>
      </c>
      <c r="P629"/>
    </row>
    <row r="630" spans="1:16" ht="29.4" thickBot="1" x14ac:dyDescent="0.35">
      <c r="A630" s="869" t="s">
        <v>2205</v>
      </c>
      <c r="B630" s="872">
        <f>'[1]PLAN DE DESARROLLO 2024 - 2027'!$K$46</f>
        <v>0.28357478219025023</v>
      </c>
      <c r="C630" s="869" t="s">
        <v>2237</v>
      </c>
      <c r="D630" s="872">
        <f>'[1]PLAN DE DESARROLLO 2024 - 2027'!$K$64</f>
        <v>0.22921261370670454</v>
      </c>
      <c r="E630" s="869" t="s">
        <v>1658</v>
      </c>
      <c r="F630" s="872">
        <f>'[1]PLAN DE DESARROLLO 2024 - 2027'!$K$67</f>
        <v>0.19047619047619047</v>
      </c>
      <c r="G630" s="869" t="s">
        <v>529</v>
      </c>
      <c r="H630" s="869" t="s">
        <v>530</v>
      </c>
      <c r="I630" s="902">
        <f>+'Vida Digna'!Z109</f>
        <v>1</v>
      </c>
      <c r="J630" s="869" t="s">
        <v>516</v>
      </c>
      <c r="K630" s="873" t="s">
        <v>2004</v>
      </c>
      <c r="P630"/>
    </row>
    <row r="631" spans="1:16" ht="29.4" thickBot="1" x14ac:dyDescent="0.35">
      <c r="A631" s="869" t="s">
        <v>2205</v>
      </c>
      <c r="B631" s="872">
        <f>'[1]PLAN DE DESARROLLO 2024 - 2027'!$K$46</f>
        <v>0.28357478219025023</v>
      </c>
      <c r="C631" s="869" t="s">
        <v>2237</v>
      </c>
      <c r="D631" s="872">
        <f>'[1]PLAN DE DESARROLLO 2024 - 2027'!$K$64</f>
        <v>0.22921261370670454</v>
      </c>
      <c r="E631" s="869" t="s">
        <v>1658</v>
      </c>
      <c r="F631" s="872">
        <f>'[1]PLAN DE DESARROLLO 2024 - 2027'!$K$67</f>
        <v>0.19047619047619047</v>
      </c>
      <c r="G631" s="869" t="s">
        <v>531</v>
      </c>
      <c r="H631" s="869" t="s">
        <v>532</v>
      </c>
      <c r="I631" s="902">
        <f>+'Vida Digna'!Z110</f>
        <v>0</v>
      </c>
      <c r="J631" s="869" t="s">
        <v>516</v>
      </c>
      <c r="K631" s="873" t="s">
        <v>2004</v>
      </c>
      <c r="P631"/>
    </row>
    <row r="632" spans="1:16" ht="29.4" thickBot="1" x14ac:dyDescent="0.35">
      <c r="A632" s="869" t="s">
        <v>2205</v>
      </c>
      <c r="B632" s="872">
        <f>'[1]PLAN DE DESARROLLO 2024 - 2027'!$K$46</f>
        <v>0.28357478219025023</v>
      </c>
      <c r="C632" s="869" t="s">
        <v>2237</v>
      </c>
      <c r="D632" s="872">
        <f>'[1]PLAN DE DESARROLLO 2024 - 2027'!$K$64</f>
        <v>0.22921261370670454</v>
      </c>
      <c r="E632" s="869" t="s">
        <v>1658</v>
      </c>
      <c r="F632" s="872">
        <f>'[1]PLAN DE DESARROLLO 2024 - 2027'!$K$67</f>
        <v>0.19047619047619047</v>
      </c>
      <c r="G632" s="869" t="s">
        <v>533</v>
      </c>
      <c r="H632" s="869" t="s">
        <v>534</v>
      </c>
      <c r="I632" s="902">
        <f>+'Vida Digna'!Z111</f>
        <v>0</v>
      </c>
      <c r="J632" s="869" t="s">
        <v>516</v>
      </c>
      <c r="K632" s="873" t="s">
        <v>2004</v>
      </c>
      <c r="P632"/>
    </row>
    <row r="633" spans="1:16" ht="29.4" thickBot="1" x14ac:dyDescent="0.35">
      <c r="A633" s="869" t="s">
        <v>2205</v>
      </c>
      <c r="B633" s="872">
        <f>'[1]PLAN DE DESARROLLO 2024 - 2027'!$K$46</f>
        <v>0.28357478219025023</v>
      </c>
      <c r="C633" s="869" t="s">
        <v>2237</v>
      </c>
      <c r="D633" s="872">
        <f>'[1]PLAN DE DESARROLLO 2024 - 2027'!$K$64</f>
        <v>0.22921261370670454</v>
      </c>
      <c r="E633" s="869" t="s">
        <v>1658</v>
      </c>
      <c r="F633" s="872">
        <f>'[1]PLAN DE DESARROLLO 2024 - 2027'!$K$67</f>
        <v>0.19047619047619047</v>
      </c>
      <c r="G633" s="869" t="s">
        <v>535</v>
      </c>
      <c r="H633" s="869" t="s">
        <v>536</v>
      </c>
      <c r="I633" s="902">
        <f>+'Vida Digna'!Z112</f>
        <v>0</v>
      </c>
      <c r="J633" s="869" t="s">
        <v>516</v>
      </c>
      <c r="K633" s="873" t="s">
        <v>2004</v>
      </c>
      <c r="P633"/>
    </row>
    <row r="634" spans="1:16" ht="43.8" thickBot="1" x14ac:dyDescent="0.35">
      <c r="A634" s="869" t="s">
        <v>2205</v>
      </c>
      <c r="B634" s="872">
        <f>'[1]PLAN DE DESARROLLO 2024 - 2027'!$K$46</f>
        <v>0.28357478219025023</v>
      </c>
      <c r="C634" s="869" t="s">
        <v>2237</v>
      </c>
      <c r="D634" s="872">
        <f>'[1]PLAN DE DESARROLLO 2024 - 2027'!$K$64</f>
        <v>0.22921261370670454</v>
      </c>
      <c r="E634" s="869" t="s">
        <v>1658</v>
      </c>
      <c r="F634" s="872">
        <f>'[1]PLAN DE DESARROLLO 2024 - 2027'!$K$67</f>
        <v>0.19047619047619047</v>
      </c>
      <c r="G634" s="869" t="s">
        <v>537</v>
      </c>
      <c r="H634" s="869" t="s">
        <v>538</v>
      </c>
      <c r="I634" s="902">
        <f>+'Vida Digna'!Z113</f>
        <v>0</v>
      </c>
      <c r="J634" s="869" t="s">
        <v>516</v>
      </c>
      <c r="K634" s="873" t="s">
        <v>2004</v>
      </c>
      <c r="P634"/>
    </row>
    <row r="635" spans="1:16" ht="29.4" thickBot="1" x14ac:dyDescent="0.35">
      <c r="A635" s="869" t="s">
        <v>2205</v>
      </c>
      <c r="B635" s="872">
        <f>'[1]PLAN DE DESARROLLO 2024 - 2027'!$K$46</f>
        <v>0.28357478219025023</v>
      </c>
      <c r="C635" s="869" t="s">
        <v>2237</v>
      </c>
      <c r="D635" s="872">
        <f>'[1]PLAN DE DESARROLLO 2024 - 2027'!$K$64</f>
        <v>0.22921261370670454</v>
      </c>
      <c r="E635" s="869" t="s">
        <v>1658</v>
      </c>
      <c r="F635" s="872">
        <f>'[1]PLAN DE DESARROLLO 2024 - 2027'!$K$67</f>
        <v>0.19047619047619047</v>
      </c>
      <c r="G635" s="869" t="s">
        <v>539</v>
      </c>
      <c r="H635" s="869" t="s">
        <v>540</v>
      </c>
      <c r="I635" s="901">
        <f>+'Vida Digna'!Z114</f>
        <v>0.58333333333333337</v>
      </c>
      <c r="J635" s="869" t="s">
        <v>516</v>
      </c>
      <c r="K635" s="873" t="s">
        <v>2004</v>
      </c>
      <c r="P635"/>
    </row>
    <row r="636" spans="1:16" ht="29.4" thickBot="1" x14ac:dyDescent="0.35">
      <c r="A636" s="869" t="s">
        <v>2205</v>
      </c>
      <c r="B636" s="872">
        <f>'[1]PLAN DE DESARROLLO 2024 - 2027'!$K$46</f>
        <v>0.28357478219025023</v>
      </c>
      <c r="C636" s="869" t="s">
        <v>2237</v>
      </c>
      <c r="D636" s="872">
        <f>'[1]PLAN DE DESARROLLO 2024 - 2027'!$K$64</f>
        <v>0.22921261370670454</v>
      </c>
      <c r="E636" s="869" t="s">
        <v>1658</v>
      </c>
      <c r="F636" s="872">
        <f>'[1]PLAN DE DESARROLLO 2024 - 2027'!$K$67</f>
        <v>0.19047619047619047</v>
      </c>
      <c r="G636" s="869" t="s">
        <v>541</v>
      </c>
      <c r="H636" s="869" t="s">
        <v>542</v>
      </c>
      <c r="I636" s="901">
        <f>+'Vida Digna'!Z115</f>
        <v>4.8550000000000003E-2</v>
      </c>
      <c r="J636" s="869" t="s">
        <v>516</v>
      </c>
      <c r="K636" s="873" t="s">
        <v>2004</v>
      </c>
      <c r="P636"/>
    </row>
    <row r="637" spans="1:16" ht="29.4" thickBot="1" x14ac:dyDescent="0.35">
      <c r="A637" s="869" t="s">
        <v>2205</v>
      </c>
      <c r="B637" s="872">
        <f>'[1]PLAN DE DESARROLLO 2024 - 2027'!$K$46</f>
        <v>0.28357478219025023</v>
      </c>
      <c r="C637" s="869" t="s">
        <v>2237</v>
      </c>
      <c r="D637" s="872">
        <f>'[1]PLAN DE DESARROLLO 2024 - 2027'!$K$64</f>
        <v>0.22921261370670454</v>
      </c>
      <c r="E637" s="869" t="s">
        <v>1658</v>
      </c>
      <c r="F637" s="872">
        <f>'[1]PLAN DE DESARROLLO 2024 - 2027'!$K$67</f>
        <v>0.19047619047619047</v>
      </c>
      <c r="G637" s="869" t="s">
        <v>543</v>
      </c>
      <c r="H637" s="869" t="s">
        <v>544</v>
      </c>
      <c r="I637" s="901">
        <f>+'Vida Digna'!Z116</f>
        <v>0.3</v>
      </c>
      <c r="J637" s="869" t="s">
        <v>516</v>
      </c>
      <c r="K637" s="873" t="s">
        <v>2004</v>
      </c>
      <c r="P637"/>
    </row>
    <row r="638" spans="1:16" ht="29.4" thickBot="1" x14ac:dyDescent="0.35">
      <c r="A638" s="869" t="s">
        <v>2205</v>
      </c>
      <c r="B638" s="872">
        <f>'[1]PLAN DE DESARROLLO 2024 - 2027'!$K$46</f>
        <v>0.28357478219025023</v>
      </c>
      <c r="C638" s="869" t="s">
        <v>2237</v>
      </c>
      <c r="D638" s="872">
        <f>'[1]PLAN DE DESARROLLO 2024 - 2027'!$K$64</f>
        <v>0.22921261370670454</v>
      </c>
      <c r="E638" s="869" t="s">
        <v>1658</v>
      </c>
      <c r="F638" s="872">
        <f>'[1]PLAN DE DESARROLLO 2024 - 2027'!$K$67</f>
        <v>0.19047619047619047</v>
      </c>
      <c r="G638" s="869" t="s">
        <v>545</v>
      </c>
      <c r="H638" s="869" t="s">
        <v>546</v>
      </c>
      <c r="I638" s="901">
        <f>+'Vida Digna'!Z117</f>
        <v>0.5</v>
      </c>
      <c r="J638" s="869" t="s">
        <v>516</v>
      </c>
      <c r="K638" s="873" t="s">
        <v>2004</v>
      </c>
      <c r="P638"/>
    </row>
    <row r="639" spans="1:16" ht="29.4" thickBot="1" x14ac:dyDescent="0.35">
      <c r="A639" s="869" t="s">
        <v>2205</v>
      </c>
      <c r="B639" s="872">
        <f>'[1]PLAN DE DESARROLLO 2024 - 2027'!$K$46</f>
        <v>0.28357478219025023</v>
      </c>
      <c r="C639" s="869" t="s">
        <v>2237</v>
      </c>
      <c r="D639" s="872">
        <f>'[1]PLAN DE DESARROLLO 2024 - 2027'!$K$64</f>
        <v>0.22921261370670454</v>
      </c>
      <c r="E639" s="869" t="s">
        <v>1658</v>
      </c>
      <c r="F639" s="872">
        <f>'[1]PLAN DE DESARROLLO 2024 - 2027'!$K$67</f>
        <v>0.19047619047619047</v>
      </c>
      <c r="G639" s="869" t="s">
        <v>547</v>
      </c>
      <c r="H639" s="869" t="s">
        <v>548</v>
      </c>
      <c r="I639" s="901">
        <f>+'Vida Digna'!Z118</f>
        <v>0</v>
      </c>
      <c r="J639" s="869" t="s">
        <v>516</v>
      </c>
      <c r="K639" s="873" t="s">
        <v>2004</v>
      </c>
      <c r="P639"/>
    </row>
    <row r="640" spans="1:16" ht="29.4" thickBot="1" x14ac:dyDescent="0.35">
      <c r="A640" s="869" t="s">
        <v>2205</v>
      </c>
      <c r="B640" s="872">
        <f>'[1]PLAN DE DESARROLLO 2024 - 2027'!$K$46</f>
        <v>0.28357478219025023</v>
      </c>
      <c r="C640" s="869" t="s">
        <v>2240</v>
      </c>
      <c r="D640" s="872">
        <f>'[1]PLAN DE DESARROLLO 2024 - 2027'!$K$68</f>
        <v>0.1746377450980392</v>
      </c>
      <c r="E640" s="869" t="s">
        <v>2241</v>
      </c>
      <c r="F640" s="872">
        <f>'[1]PLAN DE DESARROLLO 2024 - 2027'!$K$69</f>
        <v>4.1099999999999998E-2</v>
      </c>
      <c r="G640" s="869" t="s">
        <v>549</v>
      </c>
      <c r="H640" s="869" t="s">
        <v>550</v>
      </c>
      <c r="I640" s="901">
        <f>+'Vida Digna'!Z121</f>
        <v>8.6300000000000002E-2</v>
      </c>
      <c r="J640" s="869" t="s">
        <v>551</v>
      </c>
      <c r="K640" s="873" t="s">
        <v>2004</v>
      </c>
      <c r="P640"/>
    </row>
    <row r="641" spans="1:16" ht="29.4" thickBot="1" x14ac:dyDescent="0.35">
      <c r="A641" s="869" t="s">
        <v>2205</v>
      </c>
      <c r="B641" s="872">
        <f>'[1]PLAN DE DESARROLLO 2024 - 2027'!$K$46</f>
        <v>0.28357478219025023</v>
      </c>
      <c r="C641" s="869" t="s">
        <v>2240</v>
      </c>
      <c r="D641" s="872">
        <f>'[1]PLAN DE DESARROLLO 2024 - 2027'!$K$68</f>
        <v>0.1746377450980392</v>
      </c>
      <c r="E641" s="869" t="s">
        <v>1661</v>
      </c>
      <c r="F641" s="872">
        <f>'[1]PLAN DE DESARROLLO 2024 - 2027'!$K$70</f>
        <v>0.24345098039215687</v>
      </c>
      <c r="G641" s="869" t="s">
        <v>552</v>
      </c>
      <c r="H641" s="869" t="s">
        <v>553</v>
      </c>
      <c r="I641" s="901">
        <f>+'Vida Digna'!Z123</f>
        <v>0.28556862745098038</v>
      </c>
      <c r="J641" s="869" t="s">
        <v>551</v>
      </c>
      <c r="K641" s="873" t="s">
        <v>2004</v>
      </c>
      <c r="P641"/>
    </row>
    <row r="642" spans="1:16" ht="15" thickBot="1" x14ac:dyDescent="0.35">
      <c r="A642" s="869" t="s">
        <v>2205</v>
      </c>
      <c r="B642" s="872">
        <f>'[1]PLAN DE DESARROLLO 2024 - 2027'!$K$46</f>
        <v>0.28357478219025023</v>
      </c>
      <c r="C642" s="869" t="s">
        <v>2240</v>
      </c>
      <c r="D642" s="872">
        <f>'[1]PLAN DE DESARROLLO 2024 - 2027'!$K$68</f>
        <v>0.1746377450980392</v>
      </c>
      <c r="E642" s="869" t="s">
        <v>1662</v>
      </c>
      <c r="F642" s="872">
        <f>'[1]PLAN DE DESARROLLO 2024 - 2027'!$K$71</f>
        <v>0.24099999999999999</v>
      </c>
      <c r="G642" s="869" t="s">
        <v>554</v>
      </c>
      <c r="H642" s="869" t="s">
        <v>555</v>
      </c>
      <c r="I642" s="901">
        <f>+'Vida Digna'!Z125</f>
        <v>0.29360000000000003</v>
      </c>
      <c r="J642" s="869" t="s">
        <v>551</v>
      </c>
      <c r="K642" s="873" t="s">
        <v>2004</v>
      </c>
      <c r="P642"/>
    </row>
    <row r="643" spans="1:16" ht="43.8" thickBot="1" x14ac:dyDescent="0.35">
      <c r="A643" s="869" t="s">
        <v>2205</v>
      </c>
      <c r="B643" s="872">
        <f>'[1]PLAN DE DESARROLLO 2024 - 2027'!$K$46</f>
        <v>0.28357478219025023</v>
      </c>
      <c r="C643" s="869" t="s">
        <v>2240</v>
      </c>
      <c r="D643" s="872">
        <f>'[1]PLAN DE DESARROLLO 2024 - 2027'!$K$68</f>
        <v>0.1746377450980392</v>
      </c>
      <c r="E643" s="869" t="s">
        <v>2242</v>
      </c>
      <c r="F643" s="872">
        <f>'[1]PLAN DE DESARROLLO 2024 - 2027'!$K$72</f>
        <v>0.17299999999999999</v>
      </c>
      <c r="G643" s="869" t="s">
        <v>556</v>
      </c>
      <c r="H643" s="869" t="s">
        <v>557</v>
      </c>
      <c r="I643" s="901">
        <f>+'Vida Digna'!Z127</f>
        <v>0.1842</v>
      </c>
      <c r="J643" s="869" t="s">
        <v>551</v>
      </c>
      <c r="K643" s="873" t="s">
        <v>2004</v>
      </c>
      <c r="P643"/>
    </row>
    <row r="644" spans="1:16" ht="29.4" thickBot="1" x14ac:dyDescent="0.35">
      <c r="A644" s="869" t="s">
        <v>2205</v>
      </c>
      <c r="B644" s="872">
        <f>'[1]PLAN DE DESARROLLO 2024 - 2027'!$K$46</f>
        <v>0.28357478219025023</v>
      </c>
      <c r="C644" s="869" t="s">
        <v>2240</v>
      </c>
      <c r="D644" s="872">
        <f>'[1]PLAN DE DESARROLLO 2024 - 2027'!$K$68</f>
        <v>0.1746377450980392</v>
      </c>
      <c r="E644" s="869" t="s">
        <v>2242</v>
      </c>
      <c r="F644" s="872">
        <f>'[1]PLAN DE DESARROLLO 2024 - 2027'!$K$72</f>
        <v>0.17299999999999999</v>
      </c>
      <c r="G644" s="869" t="s">
        <v>558</v>
      </c>
      <c r="H644" s="869" t="s">
        <v>559</v>
      </c>
      <c r="I644" s="902">
        <f>+'Vida Digna'!Z128</f>
        <v>0.2215</v>
      </c>
      <c r="J644" s="869" t="s">
        <v>560</v>
      </c>
      <c r="K644" s="873" t="s">
        <v>2004</v>
      </c>
      <c r="P644"/>
    </row>
    <row r="645" spans="1:16" ht="15" thickBot="1" x14ac:dyDescent="0.35">
      <c r="A645" s="869" t="s">
        <v>2205</v>
      </c>
      <c r="B645" s="872">
        <f>'[1]PLAN DE DESARROLLO 2024 - 2027'!$K$46</f>
        <v>0.28357478219025023</v>
      </c>
      <c r="C645" s="869" t="s">
        <v>2240</v>
      </c>
      <c r="D645" s="872">
        <f>'[1]PLAN DE DESARROLLO 2024 - 2027'!$K$68</f>
        <v>0.1746377450980392</v>
      </c>
      <c r="E645" s="869" t="s">
        <v>2242</v>
      </c>
      <c r="F645" s="872">
        <f>'[1]PLAN DE DESARROLLO 2024 - 2027'!$K$72</f>
        <v>0.17299999999999999</v>
      </c>
      <c r="G645" s="869" t="s">
        <v>561</v>
      </c>
      <c r="H645" s="869" t="s">
        <v>562</v>
      </c>
      <c r="I645" s="901">
        <f>+'Vida Digna'!Z129</f>
        <v>0.47499999999999998</v>
      </c>
      <c r="J645" s="869" t="s">
        <v>551</v>
      </c>
      <c r="K645" s="873" t="s">
        <v>2004</v>
      </c>
      <c r="P645"/>
    </row>
    <row r="646" spans="1:16" ht="29.4" thickBot="1" x14ac:dyDescent="0.35">
      <c r="A646" s="869" t="s">
        <v>2205</v>
      </c>
      <c r="B646" s="872">
        <f>'[1]PLAN DE DESARROLLO 2024 - 2027'!$K$46</f>
        <v>0.28357478219025023</v>
      </c>
      <c r="C646" s="869" t="s">
        <v>2209</v>
      </c>
      <c r="D646" s="872">
        <f>'[1]PLAN DE DESARROLLO 2024 - 2027'!$K$73</f>
        <v>0.30468955227047623</v>
      </c>
      <c r="E646" s="869" t="s">
        <v>2243</v>
      </c>
      <c r="F646" s="872">
        <f>'[1]PLAN DE DESARROLLO 2024 - 2027'!$K$74</f>
        <v>0.20194776135238096</v>
      </c>
      <c r="G646" s="869" t="s">
        <v>563</v>
      </c>
      <c r="H646" s="869" t="s">
        <v>564</v>
      </c>
      <c r="I646" s="901">
        <f>+'Vida Digna'!Z132</f>
        <v>0.57198775399514468</v>
      </c>
      <c r="J646" s="869" t="s">
        <v>565</v>
      </c>
      <c r="K646" s="873" t="s">
        <v>2004</v>
      </c>
      <c r="P646"/>
    </row>
    <row r="647" spans="1:16" ht="29.4" thickBot="1" x14ac:dyDescent="0.35">
      <c r="A647" s="869" t="s">
        <v>2205</v>
      </c>
      <c r="B647" s="872">
        <f>'[1]PLAN DE DESARROLLO 2024 - 2027'!$K$46</f>
        <v>0.28357478219025023</v>
      </c>
      <c r="C647" s="869" t="s">
        <v>2209</v>
      </c>
      <c r="D647" s="872">
        <f>'[1]PLAN DE DESARROLLO 2024 - 2027'!$K$73</f>
        <v>0.30468955227047623</v>
      </c>
      <c r="E647" s="869" t="s">
        <v>2243</v>
      </c>
      <c r="F647" s="872">
        <f>'[1]PLAN DE DESARROLLO 2024 - 2027'!$K$74</f>
        <v>0.20194776135238096</v>
      </c>
      <c r="G647" s="869" t="s">
        <v>566</v>
      </c>
      <c r="H647" s="869" t="s">
        <v>567</v>
      </c>
      <c r="I647" s="901">
        <f>+'Vida Digna'!Z133</f>
        <v>0.5</v>
      </c>
      <c r="J647" s="869" t="s">
        <v>565</v>
      </c>
      <c r="K647" s="873" t="s">
        <v>2004</v>
      </c>
      <c r="P647"/>
    </row>
    <row r="648" spans="1:16" ht="29.4" thickBot="1" x14ac:dyDescent="0.35">
      <c r="A648" s="869" t="s">
        <v>2205</v>
      </c>
      <c r="B648" s="872">
        <f>'[1]PLAN DE DESARROLLO 2024 - 2027'!$K$46</f>
        <v>0.28357478219025023</v>
      </c>
      <c r="C648" s="869" t="s">
        <v>2209</v>
      </c>
      <c r="D648" s="872">
        <f>'[1]PLAN DE DESARROLLO 2024 - 2027'!$K$73</f>
        <v>0.30468955227047623</v>
      </c>
      <c r="E648" s="869" t="s">
        <v>2243</v>
      </c>
      <c r="F648" s="872">
        <f>'[1]PLAN DE DESARROLLO 2024 - 2027'!$K$74</f>
        <v>0.20194776135238096</v>
      </c>
      <c r="G648" s="869" t="s">
        <v>568</v>
      </c>
      <c r="H648" s="869" t="s">
        <v>569</v>
      </c>
      <c r="I648" s="901">
        <f>+'Vida Digna'!Z134</f>
        <v>0.26500000000000001</v>
      </c>
      <c r="J648" s="869" t="s">
        <v>565</v>
      </c>
      <c r="K648" s="873" t="s">
        <v>2004</v>
      </c>
      <c r="P648"/>
    </row>
    <row r="649" spans="1:16" ht="29.4" thickBot="1" x14ac:dyDescent="0.35">
      <c r="A649" s="869" t="s">
        <v>2205</v>
      </c>
      <c r="B649" s="872">
        <f>'[1]PLAN DE DESARROLLO 2024 - 2027'!$K$46</f>
        <v>0.28357478219025023</v>
      </c>
      <c r="C649" s="869" t="s">
        <v>2209</v>
      </c>
      <c r="D649" s="872">
        <f>'[1]PLAN DE DESARROLLO 2024 - 2027'!$K$73</f>
        <v>0.30468955227047623</v>
      </c>
      <c r="E649" s="869" t="s">
        <v>2243</v>
      </c>
      <c r="F649" s="872">
        <f>'[1]PLAN DE DESARROLLO 2024 - 2027'!$K$74</f>
        <v>0.20194776135238096</v>
      </c>
      <c r="G649" s="869" t="s">
        <v>570</v>
      </c>
      <c r="H649" s="869" t="s">
        <v>571</v>
      </c>
      <c r="I649" s="901">
        <f>+'Vida Digna'!Z135</f>
        <v>1</v>
      </c>
      <c r="J649" s="869" t="s">
        <v>565</v>
      </c>
      <c r="K649" s="873" t="s">
        <v>2004</v>
      </c>
      <c r="P649"/>
    </row>
    <row r="650" spans="1:16" ht="29.4" thickBot="1" x14ac:dyDescent="0.35">
      <c r="A650" s="869" t="s">
        <v>2205</v>
      </c>
      <c r="B650" s="872">
        <f>'[1]PLAN DE DESARROLLO 2024 - 2027'!$K$46</f>
        <v>0.28357478219025023</v>
      </c>
      <c r="C650" s="869" t="s">
        <v>2209</v>
      </c>
      <c r="D650" s="872">
        <f>'[1]PLAN DE DESARROLLO 2024 - 2027'!$K$73</f>
        <v>0.30468955227047623</v>
      </c>
      <c r="E650" s="869" t="s">
        <v>2243</v>
      </c>
      <c r="F650" s="872">
        <f>'[1]PLAN DE DESARROLLO 2024 - 2027'!$K$74</f>
        <v>0.20194776135238096</v>
      </c>
      <c r="G650" s="869" t="s">
        <v>572</v>
      </c>
      <c r="H650" s="869" t="s">
        <v>573</v>
      </c>
      <c r="I650" s="901">
        <f>+'Vida Digna'!Z136</f>
        <v>1</v>
      </c>
      <c r="J650" s="869" t="s">
        <v>565</v>
      </c>
      <c r="K650" s="873" t="s">
        <v>2004</v>
      </c>
      <c r="P650"/>
    </row>
    <row r="651" spans="1:16" ht="29.4" thickBot="1" x14ac:dyDescent="0.35">
      <c r="A651" s="869" t="s">
        <v>2205</v>
      </c>
      <c r="B651" s="872">
        <f>'[1]PLAN DE DESARROLLO 2024 - 2027'!$K$46</f>
        <v>0.28357478219025023</v>
      </c>
      <c r="C651" s="869" t="s">
        <v>2209</v>
      </c>
      <c r="D651" s="872">
        <f>'[1]PLAN DE DESARROLLO 2024 - 2027'!$K$73</f>
        <v>0.30468955227047623</v>
      </c>
      <c r="E651" s="869" t="s">
        <v>2243</v>
      </c>
      <c r="F651" s="872">
        <f>'[1]PLAN DE DESARROLLO 2024 - 2027'!$K$74</f>
        <v>0.20194776135238096</v>
      </c>
      <c r="G651" s="869" t="s">
        <v>574</v>
      </c>
      <c r="H651" s="869" t="s">
        <v>575</v>
      </c>
      <c r="I651" s="901">
        <f>+'Vida Digna'!Z137</f>
        <v>0.47058823529411764</v>
      </c>
      <c r="J651" s="869" t="s">
        <v>565</v>
      </c>
      <c r="K651" s="873" t="s">
        <v>2004</v>
      </c>
      <c r="P651"/>
    </row>
    <row r="652" spans="1:16" ht="29.4" thickBot="1" x14ac:dyDescent="0.35">
      <c r="A652" s="869" t="s">
        <v>2205</v>
      </c>
      <c r="B652" s="872">
        <f>'[1]PLAN DE DESARROLLO 2024 - 2027'!$K$46</f>
        <v>0.28357478219025023</v>
      </c>
      <c r="C652" s="869" t="s">
        <v>2209</v>
      </c>
      <c r="D652" s="872">
        <f>'[1]PLAN DE DESARROLLO 2024 - 2027'!$K$73</f>
        <v>0.30468955227047623</v>
      </c>
      <c r="E652" s="869" t="s">
        <v>2243</v>
      </c>
      <c r="F652" s="872">
        <f>'[1]PLAN DE DESARROLLO 2024 - 2027'!$K$74</f>
        <v>0.20194776135238096</v>
      </c>
      <c r="G652" s="869" t="s">
        <v>576</v>
      </c>
      <c r="H652" s="869" t="s">
        <v>577</v>
      </c>
      <c r="I652" s="901">
        <f>+'Vida Digna'!Z138</f>
        <v>0.3125</v>
      </c>
      <c r="J652" s="869" t="s">
        <v>565</v>
      </c>
      <c r="K652" s="873" t="s">
        <v>2004</v>
      </c>
      <c r="P652"/>
    </row>
    <row r="653" spans="1:16" ht="29.4" thickBot="1" x14ac:dyDescent="0.35">
      <c r="A653" s="869" t="s">
        <v>2205</v>
      </c>
      <c r="B653" s="872">
        <f>'[1]PLAN DE DESARROLLO 2024 - 2027'!$K$46</f>
        <v>0.28357478219025023</v>
      </c>
      <c r="C653" s="869" t="s">
        <v>2209</v>
      </c>
      <c r="D653" s="872">
        <f>'[1]PLAN DE DESARROLLO 2024 - 2027'!$K$73</f>
        <v>0.30468955227047623</v>
      </c>
      <c r="E653" s="869" t="s">
        <v>2243</v>
      </c>
      <c r="F653" s="872">
        <f>'[1]PLAN DE DESARROLLO 2024 - 2027'!$K$74</f>
        <v>0.20194776135238096</v>
      </c>
      <c r="G653" s="869" t="s">
        <v>578</v>
      </c>
      <c r="H653" s="869" t="s">
        <v>579</v>
      </c>
      <c r="I653" s="901">
        <f>+'Vida Digna'!Z139</f>
        <v>0.57352941176470584</v>
      </c>
      <c r="J653" s="869" t="s">
        <v>565</v>
      </c>
      <c r="K653" s="873" t="s">
        <v>2004</v>
      </c>
      <c r="P653"/>
    </row>
    <row r="654" spans="1:16" ht="29.4" thickBot="1" x14ac:dyDescent="0.35">
      <c r="A654" s="869" t="s">
        <v>2205</v>
      </c>
      <c r="B654" s="872">
        <f>'[1]PLAN DE DESARROLLO 2024 - 2027'!$K$46</f>
        <v>0.28357478219025023</v>
      </c>
      <c r="C654" s="869" t="s">
        <v>2209</v>
      </c>
      <c r="D654" s="872">
        <f>'[1]PLAN DE DESARROLLO 2024 - 2027'!$K$73</f>
        <v>0.30468955227047623</v>
      </c>
      <c r="E654" s="869" t="s">
        <v>2244</v>
      </c>
      <c r="F654" s="872">
        <f>'[1]PLAN DE DESARROLLO 2024 - 2027'!$K$75</f>
        <v>0.45774999999999999</v>
      </c>
      <c r="G654" s="869" t="s">
        <v>580</v>
      </c>
      <c r="H654" s="869" t="s">
        <v>581</v>
      </c>
      <c r="I654" s="901">
        <f>+'Vida Digna'!Z141</f>
        <v>1</v>
      </c>
      <c r="J654" s="869" t="s">
        <v>565</v>
      </c>
      <c r="K654" s="873" t="s">
        <v>2004</v>
      </c>
      <c r="P654"/>
    </row>
    <row r="655" spans="1:16" ht="29.4" thickBot="1" x14ac:dyDescent="0.35">
      <c r="A655" s="869" t="s">
        <v>2205</v>
      </c>
      <c r="B655" s="872">
        <f>'[1]PLAN DE DESARROLLO 2024 - 2027'!$K$46</f>
        <v>0.28357478219025023</v>
      </c>
      <c r="C655" s="869" t="s">
        <v>2209</v>
      </c>
      <c r="D655" s="872">
        <f>'[1]PLAN DE DESARROLLO 2024 - 2027'!$K$73</f>
        <v>0.30468955227047623</v>
      </c>
      <c r="E655" s="869" t="s">
        <v>2244</v>
      </c>
      <c r="F655" s="872">
        <f>'[1]PLAN DE DESARROLLO 2024 - 2027'!$K$75</f>
        <v>0.45774999999999999</v>
      </c>
      <c r="G655" s="869" t="s">
        <v>582</v>
      </c>
      <c r="H655" s="869" t="s">
        <v>583</v>
      </c>
      <c r="I655" s="901">
        <f>+'Vida Digna'!Z142</f>
        <v>0.95</v>
      </c>
      <c r="J655" s="869" t="s">
        <v>565</v>
      </c>
      <c r="K655" s="873" t="s">
        <v>2004</v>
      </c>
      <c r="P655"/>
    </row>
    <row r="656" spans="1:16" ht="29.4" thickBot="1" x14ac:dyDescent="0.35">
      <c r="A656" s="869" t="s">
        <v>2205</v>
      </c>
      <c r="B656" s="872">
        <f>'[1]PLAN DE DESARROLLO 2024 - 2027'!$K$46</f>
        <v>0.28357478219025023</v>
      </c>
      <c r="C656" s="869" t="s">
        <v>2209</v>
      </c>
      <c r="D656" s="872">
        <f>'[1]PLAN DE DESARROLLO 2024 - 2027'!$K$73</f>
        <v>0.30468955227047623</v>
      </c>
      <c r="E656" s="869" t="s">
        <v>2244</v>
      </c>
      <c r="F656" s="872">
        <f>'[1]PLAN DE DESARROLLO 2024 - 2027'!$K$75</f>
        <v>0.45774999999999999</v>
      </c>
      <c r="G656" s="869" t="s">
        <v>584</v>
      </c>
      <c r="H656" s="869" t="s">
        <v>585</v>
      </c>
      <c r="I656" s="901">
        <f>+'Vida Digna'!Z143</f>
        <v>1</v>
      </c>
      <c r="J656" s="869" t="s">
        <v>565</v>
      </c>
      <c r="K656" s="873" t="s">
        <v>2004</v>
      </c>
      <c r="P656"/>
    </row>
    <row r="657" spans="1:16" ht="43.8" thickBot="1" x14ac:dyDescent="0.35">
      <c r="A657" s="869" t="s">
        <v>2205</v>
      </c>
      <c r="B657" s="872">
        <f>'[1]PLAN DE DESARROLLO 2024 - 2027'!$K$46</f>
        <v>0.28357478219025023</v>
      </c>
      <c r="C657" s="869" t="s">
        <v>2209</v>
      </c>
      <c r="D657" s="872">
        <f>'[1]PLAN DE DESARROLLO 2024 - 2027'!$K$73</f>
        <v>0.30468955227047623</v>
      </c>
      <c r="E657" s="869" t="s">
        <v>2244</v>
      </c>
      <c r="F657" s="872">
        <f>'[1]PLAN DE DESARROLLO 2024 - 2027'!$K$75</f>
        <v>0.45774999999999999</v>
      </c>
      <c r="G657" s="869" t="s">
        <v>586</v>
      </c>
      <c r="H657" s="869" t="s">
        <v>587</v>
      </c>
      <c r="I657" s="901">
        <f>+'Vida Digna'!Z144</f>
        <v>1</v>
      </c>
      <c r="J657" s="869" t="s">
        <v>565</v>
      </c>
      <c r="K657" s="873" t="s">
        <v>2004</v>
      </c>
      <c r="P657"/>
    </row>
    <row r="658" spans="1:16" ht="29.4" thickBot="1" x14ac:dyDescent="0.35">
      <c r="A658" s="869" t="s">
        <v>2205</v>
      </c>
      <c r="B658" s="872">
        <f>'[1]PLAN DE DESARROLLO 2024 - 2027'!$K$46</f>
        <v>0.28357478219025023</v>
      </c>
      <c r="C658" s="869" t="s">
        <v>2209</v>
      </c>
      <c r="D658" s="872">
        <f>'[1]PLAN DE DESARROLLO 2024 - 2027'!$K$73</f>
        <v>0.30468955227047623</v>
      </c>
      <c r="E658" s="869" t="s">
        <v>2245</v>
      </c>
      <c r="F658" s="872">
        <f>'[1]PLAN DE DESARROLLO 2024 - 2027'!$K$76</f>
        <v>0.30625000000000002</v>
      </c>
      <c r="G658" s="869" t="s">
        <v>588</v>
      </c>
      <c r="H658" s="869" t="s">
        <v>589</v>
      </c>
      <c r="I658" s="901">
        <f>+'Vida Digna'!Z146</f>
        <v>0.7927777777777778</v>
      </c>
      <c r="J658" s="869" t="s">
        <v>565</v>
      </c>
      <c r="K658" s="873" t="s">
        <v>2004</v>
      </c>
      <c r="P658"/>
    </row>
    <row r="659" spans="1:16" ht="29.4" thickBot="1" x14ac:dyDescent="0.35">
      <c r="A659" s="869" t="s">
        <v>2205</v>
      </c>
      <c r="B659" s="872">
        <f>'[1]PLAN DE DESARROLLO 2024 - 2027'!$K$46</f>
        <v>0.28357478219025023</v>
      </c>
      <c r="C659" s="869" t="s">
        <v>2209</v>
      </c>
      <c r="D659" s="872">
        <f>'[1]PLAN DE DESARROLLO 2024 - 2027'!$K$73</f>
        <v>0.30468955227047623</v>
      </c>
      <c r="E659" s="869" t="s">
        <v>2245</v>
      </c>
      <c r="F659" s="872">
        <f>'[1]PLAN DE DESARROLLO 2024 - 2027'!$K$76</f>
        <v>0.30625000000000002</v>
      </c>
      <c r="G659" s="869" t="s">
        <v>590</v>
      </c>
      <c r="H659" s="869" t="s">
        <v>591</v>
      </c>
      <c r="I659" s="901">
        <f>+'Vida Digna'!Z147</f>
        <v>0.55000000000000004</v>
      </c>
      <c r="J659" s="869" t="s">
        <v>565</v>
      </c>
      <c r="K659" s="873" t="s">
        <v>2004</v>
      </c>
      <c r="P659"/>
    </row>
    <row r="660" spans="1:16" ht="43.8" thickBot="1" x14ac:dyDescent="0.35">
      <c r="A660" s="869" t="s">
        <v>2205</v>
      </c>
      <c r="B660" s="872">
        <f>'[1]PLAN DE DESARROLLO 2024 - 2027'!$K$46</f>
        <v>0.28357478219025023</v>
      </c>
      <c r="C660" s="869" t="s">
        <v>2209</v>
      </c>
      <c r="D660" s="872">
        <f>'[1]PLAN DE DESARROLLO 2024 - 2027'!$K$73</f>
        <v>0.30468955227047623</v>
      </c>
      <c r="E660" s="869" t="s">
        <v>2246</v>
      </c>
      <c r="F660" s="872">
        <f>'[1]PLAN DE DESARROLLO 2024 - 2027'!$K$77</f>
        <v>0.27</v>
      </c>
      <c r="G660" s="869" t="s">
        <v>592</v>
      </c>
      <c r="H660" s="869" t="s">
        <v>593</v>
      </c>
      <c r="I660" s="901">
        <f>+'Vida Digna'!Z149</f>
        <v>0.89</v>
      </c>
      <c r="J660" s="869" t="s">
        <v>565</v>
      </c>
      <c r="K660" s="873" t="s">
        <v>2004</v>
      </c>
      <c r="P660"/>
    </row>
    <row r="661" spans="1:16" ht="29.4" thickBot="1" x14ac:dyDescent="0.35">
      <c r="A661" s="869" t="s">
        <v>2205</v>
      </c>
      <c r="B661" s="872">
        <f>'[1]PLAN DE DESARROLLO 2024 - 2027'!$K$46</f>
        <v>0.28357478219025023</v>
      </c>
      <c r="C661" s="869" t="s">
        <v>2209</v>
      </c>
      <c r="D661" s="872">
        <f>'[1]PLAN DE DESARROLLO 2024 - 2027'!$K$73</f>
        <v>0.30468955227047623</v>
      </c>
      <c r="E661" s="869" t="s">
        <v>2246</v>
      </c>
      <c r="F661" s="872">
        <f>'[1]PLAN DE DESARROLLO 2024 - 2027'!$K$77</f>
        <v>0.27</v>
      </c>
      <c r="G661" s="869" t="s">
        <v>594</v>
      </c>
      <c r="H661" s="869" t="s">
        <v>595</v>
      </c>
      <c r="I661" s="901">
        <f>+'Vida Digna'!Z150</f>
        <v>0.51</v>
      </c>
      <c r="J661" s="869" t="s">
        <v>565</v>
      </c>
      <c r="K661" s="873" t="s">
        <v>2004</v>
      </c>
      <c r="P661"/>
    </row>
    <row r="662" spans="1:16" ht="43.8" thickBot="1" x14ac:dyDescent="0.35">
      <c r="A662" s="869" t="s">
        <v>2205</v>
      </c>
      <c r="B662" s="872">
        <f>'[1]PLAN DE DESARROLLO 2024 - 2027'!$K$46</f>
        <v>0.28357478219025023</v>
      </c>
      <c r="C662" s="869" t="s">
        <v>2209</v>
      </c>
      <c r="D662" s="872">
        <f>'[1]PLAN DE DESARROLLO 2024 - 2027'!$K$73</f>
        <v>0.30468955227047623</v>
      </c>
      <c r="E662" s="869" t="s">
        <v>2246</v>
      </c>
      <c r="F662" s="872">
        <f>'[1]PLAN DE DESARROLLO 2024 - 2027'!$K$77</f>
        <v>0.27</v>
      </c>
      <c r="G662" s="869" t="s">
        <v>596</v>
      </c>
      <c r="H662" s="869" t="s">
        <v>597</v>
      </c>
      <c r="I662" s="901">
        <f>+'Vida Digna'!Z151</f>
        <v>1</v>
      </c>
      <c r="J662" s="869" t="s">
        <v>565</v>
      </c>
      <c r="K662" s="873" t="s">
        <v>2004</v>
      </c>
      <c r="P662"/>
    </row>
    <row r="663" spans="1:16" ht="29.4" thickBot="1" x14ac:dyDescent="0.35">
      <c r="A663" s="869" t="s">
        <v>2205</v>
      </c>
      <c r="B663" s="872">
        <f>'[1]PLAN DE DESARROLLO 2024 - 2027'!$K$46</f>
        <v>0.28357478219025023</v>
      </c>
      <c r="C663" s="869" t="s">
        <v>2209</v>
      </c>
      <c r="D663" s="872">
        <f>'[1]PLAN DE DESARROLLO 2024 - 2027'!$K$73</f>
        <v>0.30468955227047623</v>
      </c>
      <c r="E663" s="869" t="s">
        <v>2246</v>
      </c>
      <c r="F663" s="872">
        <f>'[1]PLAN DE DESARROLLO 2024 - 2027'!$K$77</f>
        <v>0.27</v>
      </c>
      <c r="G663" s="869" t="s">
        <v>598</v>
      </c>
      <c r="H663" s="869" t="s">
        <v>599</v>
      </c>
      <c r="I663" s="901">
        <f>+'Vida Digna'!Z152</f>
        <v>0.35</v>
      </c>
      <c r="J663" s="869" t="s">
        <v>565</v>
      </c>
      <c r="K663" s="873" t="s">
        <v>2004</v>
      </c>
      <c r="P663"/>
    </row>
    <row r="664" spans="1:16" ht="29.4" thickBot="1" x14ac:dyDescent="0.35">
      <c r="A664" s="869" t="s">
        <v>2205</v>
      </c>
      <c r="B664" s="872">
        <f>'[1]PLAN DE DESARROLLO 2024 - 2027'!$K$46</f>
        <v>0.28357478219025023</v>
      </c>
      <c r="C664" s="869" t="s">
        <v>2209</v>
      </c>
      <c r="D664" s="872">
        <f>'[1]PLAN DE DESARROLLO 2024 - 2027'!$K$73</f>
        <v>0.30468955227047623</v>
      </c>
      <c r="E664" s="869" t="s">
        <v>2246</v>
      </c>
      <c r="F664" s="872">
        <f>'[1]PLAN DE DESARROLLO 2024 - 2027'!$K$77</f>
        <v>0.27</v>
      </c>
      <c r="G664" s="869" t="s">
        <v>600</v>
      </c>
      <c r="H664" s="869" t="s">
        <v>601</v>
      </c>
      <c r="I664" s="901">
        <f>+'Vida Digna'!Z153</f>
        <v>0.45</v>
      </c>
      <c r="J664" s="869" t="s">
        <v>565</v>
      </c>
      <c r="K664" s="873" t="s">
        <v>2004</v>
      </c>
      <c r="P664"/>
    </row>
    <row r="665" spans="1:16" ht="29.4" thickBot="1" x14ac:dyDescent="0.35">
      <c r="A665" s="869" t="s">
        <v>2205</v>
      </c>
      <c r="B665" s="872">
        <f>'[1]PLAN DE DESARROLLO 2024 - 2027'!$K$46</f>
        <v>0.28357478219025023</v>
      </c>
      <c r="C665" s="869" t="s">
        <v>2209</v>
      </c>
      <c r="D665" s="872">
        <f>'[1]PLAN DE DESARROLLO 2024 - 2027'!$K$73</f>
        <v>0.30468955227047623</v>
      </c>
      <c r="E665" s="869" t="s">
        <v>2247</v>
      </c>
      <c r="F665" s="872">
        <f>'[1]PLAN DE DESARROLLO 2024 - 2027'!$K$78</f>
        <v>0.28749999999999998</v>
      </c>
      <c r="G665" s="869" t="s">
        <v>602</v>
      </c>
      <c r="H665" s="869" t="s">
        <v>603</v>
      </c>
      <c r="I665" s="901">
        <f>+'Vida Digna'!Z155</f>
        <v>1</v>
      </c>
      <c r="J665" s="869" t="s">
        <v>565</v>
      </c>
      <c r="K665" s="873" t="s">
        <v>2004</v>
      </c>
      <c r="P665"/>
    </row>
    <row r="666" spans="1:16" ht="29.4" thickBot="1" x14ac:dyDescent="0.35">
      <c r="A666" s="869" t="s">
        <v>2205</v>
      </c>
      <c r="B666" s="872">
        <f>'[1]PLAN DE DESARROLLO 2024 - 2027'!$K$46</f>
        <v>0.28357478219025023</v>
      </c>
      <c r="C666" s="869" t="s">
        <v>2209</v>
      </c>
      <c r="D666" s="872">
        <f>'[1]PLAN DE DESARROLLO 2024 - 2027'!$K$73</f>
        <v>0.30468955227047623</v>
      </c>
      <c r="E666" s="869" t="s">
        <v>2247</v>
      </c>
      <c r="F666" s="872">
        <f>'[1]PLAN DE DESARROLLO 2024 - 2027'!$K$78</f>
        <v>0.28749999999999998</v>
      </c>
      <c r="G666" s="869" t="s">
        <v>604</v>
      </c>
      <c r="H666" s="869" t="s">
        <v>605</v>
      </c>
      <c r="I666" s="901">
        <f>+'Vida Digna'!Z156</f>
        <v>0.25</v>
      </c>
      <c r="J666" s="869" t="s">
        <v>565</v>
      </c>
      <c r="K666" s="873" t="s">
        <v>2004</v>
      </c>
      <c r="P666"/>
    </row>
    <row r="667" spans="1:16" ht="29.4" thickBot="1" x14ac:dyDescent="0.35">
      <c r="A667" s="869" t="s">
        <v>2205</v>
      </c>
      <c r="B667" s="872">
        <f>'[1]PLAN DE DESARROLLO 2024 - 2027'!$K$46</f>
        <v>0.28357478219025023</v>
      </c>
      <c r="C667" s="869" t="s">
        <v>2209</v>
      </c>
      <c r="D667" s="872">
        <f>'[1]PLAN DE DESARROLLO 2024 - 2027'!$K$73</f>
        <v>0.30468955227047623</v>
      </c>
      <c r="E667" s="869" t="s">
        <v>2247</v>
      </c>
      <c r="F667" s="872">
        <f>'[1]PLAN DE DESARROLLO 2024 - 2027'!$K$78</f>
        <v>0.28749999999999998</v>
      </c>
      <c r="G667" s="869" t="s">
        <v>606</v>
      </c>
      <c r="H667" s="869" t="s">
        <v>607</v>
      </c>
      <c r="I667" s="901">
        <f>+'Vida Digna'!Z157</f>
        <v>0.35830000000000006</v>
      </c>
      <c r="J667" s="869" t="s">
        <v>565</v>
      </c>
      <c r="K667" s="873" t="s">
        <v>2004</v>
      </c>
      <c r="P667"/>
    </row>
    <row r="668" spans="1:16" ht="43.8" thickBot="1" x14ac:dyDescent="0.35">
      <c r="A668" s="869" t="s">
        <v>2205</v>
      </c>
      <c r="B668" s="872">
        <f>'[1]PLAN DE DESARROLLO 2024 - 2027'!$K$46</f>
        <v>0.28357478219025023</v>
      </c>
      <c r="C668" s="869" t="s">
        <v>2209</v>
      </c>
      <c r="D668" s="872">
        <f>'[1]PLAN DE DESARROLLO 2024 - 2027'!$K$73</f>
        <v>0.30468955227047623</v>
      </c>
      <c r="E668" s="869" t="s">
        <v>2247</v>
      </c>
      <c r="F668" s="872">
        <f>'[1]PLAN DE DESARROLLO 2024 - 2027'!$K$78</f>
        <v>0.28749999999999998</v>
      </c>
      <c r="G668" s="869" t="s">
        <v>608</v>
      </c>
      <c r="H668" s="869" t="s">
        <v>609</v>
      </c>
      <c r="I668" s="901">
        <f>+'Vida Digna'!Z158</f>
        <v>0.5</v>
      </c>
      <c r="J668" s="869" t="s">
        <v>565</v>
      </c>
      <c r="K668" s="873" t="s">
        <v>2004</v>
      </c>
      <c r="P668"/>
    </row>
    <row r="669" spans="1:16" ht="29.4" thickBot="1" x14ac:dyDescent="0.35">
      <c r="A669" s="869" t="s">
        <v>2205</v>
      </c>
      <c r="B669" s="872">
        <f>'[1]PLAN DE DESARROLLO 2024 - 2027'!$K$46</f>
        <v>0.28357478219025023</v>
      </c>
      <c r="C669" s="869" t="s">
        <v>2209</v>
      </c>
      <c r="D669" s="872">
        <f>'[1]PLAN DE DESARROLLO 2024 - 2027'!$K$73</f>
        <v>0.30468955227047623</v>
      </c>
      <c r="E669" s="869" t="s">
        <v>2247</v>
      </c>
      <c r="F669" s="872">
        <f>'[1]PLAN DE DESARROLLO 2024 - 2027'!$K$78</f>
        <v>0.28749999999999998</v>
      </c>
      <c r="G669" s="869" t="s">
        <v>610</v>
      </c>
      <c r="H669" s="869" t="s">
        <v>611</v>
      </c>
      <c r="I669" s="902">
        <f>+'Vida Digna'!Z159</f>
        <v>0.45</v>
      </c>
      <c r="J669" s="869" t="s">
        <v>565</v>
      </c>
      <c r="K669" s="873" t="s">
        <v>2004</v>
      </c>
      <c r="P669"/>
    </row>
    <row r="670" spans="1:16" ht="29.4" thickBot="1" x14ac:dyDescent="0.35">
      <c r="A670" s="869" t="s">
        <v>2205</v>
      </c>
      <c r="B670" s="872">
        <f>'[1]PLAN DE DESARROLLO 2024 - 2027'!$K$46</f>
        <v>0.28357478219025023</v>
      </c>
      <c r="C670" s="869" t="s">
        <v>2248</v>
      </c>
      <c r="D670" s="872">
        <f>'[1]PLAN DE DESARROLLO 2024 - 2027'!$K$80</f>
        <v>0.32618503263111615</v>
      </c>
      <c r="E670" s="869" t="s">
        <v>2249</v>
      </c>
      <c r="F670" s="872">
        <f>'[1]PLAN DE DESARROLLO 2024 - 2027'!$K$81</f>
        <v>0.29583333333333334</v>
      </c>
      <c r="G670" s="869" t="s">
        <v>618</v>
      </c>
      <c r="H670" s="869" t="s">
        <v>619</v>
      </c>
      <c r="I670" s="901">
        <f>+'Vida Digna'!Z166</f>
        <v>8.3333333333333329E-2</v>
      </c>
      <c r="J670" s="869" t="s">
        <v>620</v>
      </c>
      <c r="K670" s="873" t="s">
        <v>2004</v>
      </c>
      <c r="P670"/>
    </row>
    <row r="671" spans="1:16" ht="29.4" thickBot="1" x14ac:dyDescent="0.35">
      <c r="A671" s="869" t="s">
        <v>2205</v>
      </c>
      <c r="B671" s="872">
        <f>'[1]PLAN DE DESARROLLO 2024 - 2027'!$K$46</f>
        <v>0.28357478219025023</v>
      </c>
      <c r="C671" s="869" t="s">
        <v>2248</v>
      </c>
      <c r="D671" s="872">
        <f>'[1]PLAN DE DESARROLLO 2024 - 2027'!$K$80</f>
        <v>0.32618503263111615</v>
      </c>
      <c r="E671" s="869" t="s">
        <v>2249</v>
      </c>
      <c r="F671" s="872">
        <f>'[1]PLAN DE DESARROLLO 2024 - 2027'!$K$81</f>
        <v>0.29583333333333334</v>
      </c>
      <c r="G671" s="869" t="s">
        <v>621</v>
      </c>
      <c r="H671" s="869" t="s">
        <v>622</v>
      </c>
      <c r="I671" s="901">
        <f>+'Vida Digna'!Z167</f>
        <v>0.66999999999999993</v>
      </c>
      <c r="J671" s="869" t="s">
        <v>620</v>
      </c>
      <c r="K671" s="873" t="s">
        <v>2004</v>
      </c>
      <c r="P671"/>
    </row>
    <row r="672" spans="1:16" ht="29.4" thickBot="1" x14ac:dyDescent="0.35">
      <c r="A672" s="869" t="s">
        <v>2205</v>
      </c>
      <c r="B672" s="872">
        <f>'[1]PLAN DE DESARROLLO 2024 - 2027'!$K$46</f>
        <v>0.28357478219025023</v>
      </c>
      <c r="C672" s="869" t="s">
        <v>2248</v>
      </c>
      <c r="D672" s="872">
        <f>'[1]PLAN DE DESARROLLO 2024 - 2027'!$K$80</f>
        <v>0.32618503263111615</v>
      </c>
      <c r="E672" s="869" t="s">
        <v>2249</v>
      </c>
      <c r="F672" s="872">
        <f>'[1]PLAN DE DESARROLLO 2024 - 2027'!$K$81</f>
        <v>0.29583333333333334</v>
      </c>
      <c r="G672" s="869" t="s">
        <v>623</v>
      </c>
      <c r="H672" s="869" t="s">
        <v>624</v>
      </c>
      <c r="I672" s="901">
        <f>+'Vida Digna'!Z168</f>
        <v>0.3125</v>
      </c>
      <c r="J672" s="869" t="s">
        <v>620</v>
      </c>
      <c r="K672" s="873" t="s">
        <v>2004</v>
      </c>
      <c r="P672"/>
    </row>
    <row r="673" spans="1:16" ht="29.4" thickBot="1" x14ac:dyDescent="0.35">
      <c r="A673" s="869" t="s">
        <v>2205</v>
      </c>
      <c r="B673" s="872">
        <f>'[1]PLAN DE DESARROLLO 2024 - 2027'!$K$46</f>
        <v>0.28357478219025023</v>
      </c>
      <c r="C673" s="869" t="s">
        <v>2248</v>
      </c>
      <c r="D673" s="872">
        <f>'[1]PLAN DE DESARROLLO 2024 - 2027'!$K$80</f>
        <v>0.32618503263111615</v>
      </c>
      <c r="E673" s="869" t="s">
        <v>2249</v>
      </c>
      <c r="F673" s="872">
        <f>'[1]PLAN DE DESARROLLO 2024 - 2027'!$K$81</f>
        <v>0.29583333333333334</v>
      </c>
      <c r="G673" s="869" t="s">
        <v>625</v>
      </c>
      <c r="H673" s="869" t="s">
        <v>626</v>
      </c>
      <c r="I673" s="901">
        <f>+'Vida Digna'!Z169</f>
        <v>0.59083333333333332</v>
      </c>
      <c r="J673" s="869" t="s">
        <v>620</v>
      </c>
      <c r="K673" s="873" t="s">
        <v>2004</v>
      </c>
      <c r="P673"/>
    </row>
    <row r="674" spans="1:16" ht="29.4" thickBot="1" x14ac:dyDescent="0.35">
      <c r="A674" s="869" t="s">
        <v>2205</v>
      </c>
      <c r="B674" s="872">
        <f>'[1]PLAN DE DESARROLLO 2024 - 2027'!$K$46</f>
        <v>0.28357478219025023</v>
      </c>
      <c r="C674" s="869" t="s">
        <v>2248</v>
      </c>
      <c r="D674" s="872">
        <f>'[1]PLAN DE DESARROLLO 2024 - 2027'!$K$80</f>
        <v>0.32618503263111615</v>
      </c>
      <c r="E674" s="869" t="s">
        <v>2250</v>
      </c>
      <c r="F674" s="872">
        <f>'[1]PLAN DE DESARROLLO 2024 - 2027'!$K$82</f>
        <v>0.17125662544169612</v>
      </c>
      <c r="G674" s="869" t="s">
        <v>627</v>
      </c>
      <c r="H674" s="869" t="s">
        <v>628</v>
      </c>
      <c r="I674" s="901">
        <f>+'Vida Digna'!Z171</f>
        <v>0.35247349823321555</v>
      </c>
      <c r="J674" s="869" t="s">
        <v>620</v>
      </c>
      <c r="K674" s="873" t="s">
        <v>2004</v>
      </c>
      <c r="P674"/>
    </row>
    <row r="675" spans="1:16" ht="29.4" thickBot="1" x14ac:dyDescent="0.35">
      <c r="A675" s="869" t="s">
        <v>2205</v>
      </c>
      <c r="B675" s="872">
        <f>'[1]PLAN DE DESARROLLO 2024 - 2027'!$K$46</f>
        <v>0.28357478219025023</v>
      </c>
      <c r="C675" s="869" t="s">
        <v>2248</v>
      </c>
      <c r="D675" s="872">
        <f>'[1]PLAN DE DESARROLLO 2024 - 2027'!$K$80</f>
        <v>0.32618503263111615</v>
      </c>
      <c r="E675" s="869" t="s">
        <v>2250</v>
      </c>
      <c r="F675" s="872">
        <f>'[1]PLAN DE DESARROLLO 2024 - 2027'!$K$82</f>
        <v>0.17125662544169612</v>
      </c>
      <c r="G675" s="869" t="s">
        <v>629</v>
      </c>
      <c r="H675" s="869" t="s">
        <v>630</v>
      </c>
      <c r="I675" s="901">
        <f>+'Vida Digna'!Z172</f>
        <v>0.37187500000000001</v>
      </c>
      <c r="J675" s="869" t="s">
        <v>620</v>
      </c>
      <c r="K675" s="873" t="s">
        <v>2004</v>
      </c>
      <c r="P675"/>
    </row>
    <row r="676" spans="1:16" ht="29.4" thickBot="1" x14ac:dyDescent="0.35">
      <c r="A676" s="869" t="s">
        <v>2205</v>
      </c>
      <c r="B676" s="872">
        <f>'[1]PLAN DE DESARROLLO 2024 - 2027'!$K$46</f>
        <v>0.28357478219025023</v>
      </c>
      <c r="C676" s="869" t="s">
        <v>2248</v>
      </c>
      <c r="D676" s="872">
        <f>'[1]PLAN DE DESARROLLO 2024 - 2027'!$K$80</f>
        <v>0.32618503263111615</v>
      </c>
      <c r="E676" s="869" t="s">
        <v>2251</v>
      </c>
      <c r="F676" s="872">
        <f>'[1]PLAN DE DESARROLLO 2024 - 2027'!$K$83</f>
        <v>0.36161627906976745</v>
      </c>
      <c r="G676" s="869" t="s">
        <v>631</v>
      </c>
      <c r="H676" s="869" t="s">
        <v>632</v>
      </c>
      <c r="I676" s="901">
        <f>+'Vida Digna'!Z174</f>
        <v>0.58199999999999996</v>
      </c>
      <c r="J676" s="869" t="s">
        <v>620</v>
      </c>
      <c r="K676" s="873" t="s">
        <v>2004</v>
      </c>
      <c r="P676"/>
    </row>
    <row r="677" spans="1:16" ht="29.4" thickBot="1" x14ac:dyDescent="0.35">
      <c r="A677" s="869" t="s">
        <v>2205</v>
      </c>
      <c r="B677" s="872">
        <f>'[1]PLAN DE DESARROLLO 2024 - 2027'!$K$46</f>
        <v>0.28357478219025023</v>
      </c>
      <c r="C677" s="869" t="s">
        <v>2248</v>
      </c>
      <c r="D677" s="872">
        <f>'[1]PLAN DE DESARROLLO 2024 - 2027'!$K$80</f>
        <v>0.32618503263111615</v>
      </c>
      <c r="E677" s="869" t="s">
        <v>2251</v>
      </c>
      <c r="F677" s="872">
        <f>'[1]PLAN DE DESARROLLO 2024 - 2027'!$K$83</f>
        <v>0.36161627906976745</v>
      </c>
      <c r="G677" s="869" t="s">
        <v>633</v>
      </c>
      <c r="H677" s="869" t="s">
        <v>634</v>
      </c>
      <c r="I677" s="901">
        <f>+'Vida Digna'!Z175</f>
        <v>0.58333333333333337</v>
      </c>
      <c r="J677" s="869" t="s">
        <v>620</v>
      </c>
      <c r="K677" s="873" t="s">
        <v>2004</v>
      </c>
      <c r="P677"/>
    </row>
    <row r="678" spans="1:16" ht="29.4" thickBot="1" x14ac:dyDescent="0.35">
      <c r="A678" s="869" t="s">
        <v>2205</v>
      </c>
      <c r="B678" s="872">
        <f>'[1]PLAN DE DESARROLLO 2024 - 2027'!$K$46</f>
        <v>0.28357478219025023</v>
      </c>
      <c r="C678" s="869" t="s">
        <v>2248</v>
      </c>
      <c r="D678" s="872">
        <f>'[1]PLAN DE DESARROLLO 2024 - 2027'!$K$80</f>
        <v>0.32618503263111615</v>
      </c>
      <c r="E678" s="869" t="s">
        <v>2252</v>
      </c>
      <c r="F678" s="872">
        <f>'[1]PLAN DE DESARROLLO 2024 - 2027'!$K$84</f>
        <v>0.38292488450604123</v>
      </c>
      <c r="G678" s="869" t="s">
        <v>635</v>
      </c>
      <c r="H678" s="869" t="s">
        <v>636</v>
      </c>
      <c r="I678" s="901">
        <f>+'Vida Digna'!Z177</f>
        <v>0.49869402985074629</v>
      </c>
      <c r="J678" s="869" t="s">
        <v>620</v>
      </c>
      <c r="K678" s="873" t="s">
        <v>2004</v>
      </c>
      <c r="P678"/>
    </row>
    <row r="679" spans="1:16" ht="29.4" thickBot="1" x14ac:dyDescent="0.35">
      <c r="A679" s="869" t="s">
        <v>2205</v>
      </c>
      <c r="B679" s="872">
        <f>'[1]PLAN DE DESARROLLO 2024 - 2027'!$K$46</f>
        <v>0.28357478219025023</v>
      </c>
      <c r="C679" s="869" t="s">
        <v>2248</v>
      </c>
      <c r="D679" s="872">
        <f>'[1]PLAN DE DESARROLLO 2024 - 2027'!$K$80</f>
        <v>0.32618503263111615</v>
      </c>
      <c r="E679" s="869" t="s">
        <v>2252</v>
      </c>
      <c r="F679" s="872">
        <f>'[1]PLAN DE DESARROLLO 2024 - 2027'!$K$84</f>
        <v>0.38292488450604123</v>
      </c>
      <c r="G679" s="869" t="s">
        <v>637</v>
      </c>
      <c r="H679" s="869" t="s">
        <v>638</v>
      </c>
      <c r="I679" s="901">
        <f>+'Vida Digna'!Z178</f>
        <v>0.580952380952381</v>
      </c>
      <c r="J679" s="869" t="s">
        <v>620</v>
      </c>
      <c r="K679" s="873" t="s">
        <v>2004</v>
      </c>
      <c r="P679"/>
    </row>
    <row r="680" spans="1:16" ht="29.4" thickBot="1" x14ac:dyDescent="0.35">
      <c r="A680" s="869" t="s">
        <v>2205</v>
      </c>
      <c r="B680" s="872">
        <f>'[1]PLAN DE DESARROLLO 2024 - 2027'!$K$46</f>
        <v>0.28357478219025023</v>
      </c>
      <c r="C680" s="869" t="s">
        <v>2248</v>
      </c>
      <c r="D680" s="872">
        <f>'[1]PLAN DE DESARROLLO 2024 - 2027'!$K$80</f>
        <v>0.32618503263111615</v>
      </c>
      <c r="E680" s="869" t="s">
        <v>2252</v>
      </c>
      <c r="F680" s="872">
        <f>'[1]PLAN DE DESARROLLO 2024 - 2027'!$K$84</f>
        <v>0.38292488450604123</v>
      </c>
      <c r="G680" s="869" t="s">
        <v>2253</v>
      </c>
      <c r="H680" s="869" t="s">
        <v>2254</v>
      </c>
      <c r="I680" s="902">
        <f>+'Vida Digna'!Z179</f>
        <v>1</v>
      </c>
      <c r="J680" s="869" t="s">
        <v>2255</v>
      </c>
      <c r="K680" s="873" t="s">
        <v>2004</v>
      </c>
      <c r="P680"/>
    </row>
    <row r="681" spans="1:16" ht="29.4" thickBot="1" x14ac:dyDescent="0.35">
      <c r="A681" s="869" t="s">
        <v>2205</v>
      </c>
      <c r="B681" s="872">
        <f>'[1]PLAN DE DESARROLLO 2024 - 2027'!$K$46</f>
        <v>0.28357478219025023</v>
      </c>
      <c r="C681" s="869" t="s">
        <v>2248</v>
      </c>
      <c r="D681" s="872">
        <f>'[1]PLAN DE DESARROLLO 2024 - 2027'!$K$80</f>
        <v>0.32618503263111615</v>
      </c>
      <c r="E681" s="869" t="s">
        <v>2252</v>
      </c>
      <c r="F681" s="872">
        <f>'[1]PLAN DE DESARROLLO 2024 - 2027'!$K$84</f>
        <v>0.38292488450604123</v>
      </c>
      <c r="G681" s="869" t="s">
        <v>2256</v>
      </c>
      <c r="H681" s="869" t="s">
        <v>2257</v>
      </c>
      <c r="I681" s="901">
        <f>+'Vida Digna'!Z180</f>
        <v>0.60364285714285715</v>
      </c>
      <c r="J681" s="869" t="s">
        <v>620</v>
      </c>
      <c r="K681" s="873" t="s">
        <v>2004</v>
      </c>
      <c r="P681"/>
    </row>
    <row r="682" spans="1:16" ht="43.8" thickBot="1" x14ac:dyDescent="0.35">
      <c r="A682" s="869" t="s">
        <v>2205</v>
      </c>
      <c r="B682" s="872">
        <f>'[1]PLAN DE DESARROLLO 2024 - 2027'!$K$46</f>
        <v>0.28357478219025023</v>
      </c>
      <c r="C682" s="869" t="s">
        <v>2248</v>
      </c>
      <c r="D682" s="872">
        <f>'[1]PLAN DE DESARROLLO 2024 - 2027'!$K$80</f>
        <v>0.32618503263111615</v>
      </c>
      <c r="E682" s="869" t="s">
        <v>2252</v>
      </c>
      <c r="F682" s="872">
        <f>'[1]PLAN DE DESARROLLO 2024 - 2027'!$K$84</f>
        <v>0.38292488450604123</v>
      </c>
      <c r="G682" s="869" t="s">
        <v>2258</v>
      </c>
      <c r="H682" s="869" t="s">
        <v>645</v>
      </c>
      <c r="I682" s="901">
        <f>+'Vida Digna'!Z181</f>
        <v>0.85499999999999998</v>
      </c>
      <c r="J682" s="869" t="s">
        <v>2255</v>
      </c>
      <c r="K682" s="873" t="s">
        <v>2004</v>
      </c>
      <c r="P682"/>
    </row>
    <row r="683" spans="1:16" ht="29.4" thickBot="1" x14ac:dyDescent="0.35">
      <c r="A683" s="869" t="s">
        <v>2205</v>
      </c>
      <c r="B683" s="872">
        <f>'[1]PLAN DE DESARROLLO 2024 - 2027'!$K$46</f>
        <v>0.28357478219025023</v>
      </c>
      <c r="C683" s="869" t="s">
        <v>2248</v>
      </c>
      <c r="D683" s="872">
        <f>'[1]PLAN DE DESARROLLO 2024 - 2027'!$K$80</f>
        <v>0.32618503263111615</v>
      </c>
      <c r="E683" s="869" t="s">
        <v>2259</v>
      </c>
      <c r="F683" s="872">
        <f>'[1]PLAN DE DESARROLLO 2024 - 2027'!$K$85</f>
        <v>0.25970491803278689</v>
      </c>
      <c r="G683" s="869" t="s">
        <v>646</v>
      </c>
      <c r="H683" s="869" t="s">
        <v>647</v>
      </c>
      <c r="I683" s="901">
        <f>+'Vida Digna'!Z183</f>
        <v>0.48642622950819669</v>
      </c>
      <c r="J683" s="869" t="s">
        <v>620</v>
      </c>
      <c r="K683" s="873" t="s">
        <v>2004</v>
      </c>
      <c r="P683"/>
    </row>
    <row r="684" spans="1:16" ht="43.8" thickBot="1" x14ac:dyDescent="0.35">
      <c r="A684" s="869" t="s">
        <v>2205</v>
      </c>
      <c r="B684" s="872">
        <f>'[1]PLAN DE DESARROLLO 2024 - 2027'!$K$46</f>
        <v>0.28357478219025023</v>
      </c>
      <c r="C684" s="869" t="s">
        <v>2248</v>
      </c>
      <c r="D684" s="872">
        <f>'[1]PLAN DE DESARROLLO 2024 - 2027'!$K$80</f>
        <v>0.32618503263111615</v>
      </c>
      <c r="E684" s="869" t="s">
        <v>1677</v>
      </c>
      <c r="F684" s="872">
        <f>'[1]PLAN DE DESARROLLO 2024 - 2027'!$K$86</f>
        <v>0.35400277777777778</v>
      </c>
      <c r="G684" s="869" t="s">
        <v>648</v>
      </c>
      <c r="H684" s="869" t="s">
        <v>649</v>
      </c>
      <c r="I684" s="901">
        <f>+'Vida Digna'!Z185</f>
        <v>0.65120555555555559</v>
      </c>
      <c r="J684" s="869" t="s">
        <v>620</v>
      </c>
      <c r="K684" s="873" t="s">
        <v>2004</v>
      </c>
      <c r="P684"/>
    </row>
    <row r="685" spans="1:16" ht="43.8" thickBot="1" x14ac:dyDescent="0.35">
      <c r="A685" s="869" t="s">
        <v>2205</v>
      </c>
      <c r="B685" s="872">
        <f>'[1]PLAN DE DESARROLLO 2024 - 2027'!$K$46</f>
        <v>0.28357478219025023</v>
      </c>
      <c r="C685" s="869" t="s">
        <v>2248</v>
      </c>
      <c r="D685" s="872">
        <f>'[1]PLAN DE DESARROLLO 2024 - 2027'!$K$80</f>
        <v>0.32618503263111615</v>
      </c>
      <c r="E685" s="869" t="s">
        <v>1677</v>
      </c>
      <c r="F685" s="872">
        <f>'[1]PLAN DE DESARROLLO 2024 - 2027'!$K$86</f>
        <v>0.35400277777777778</v>
      </c>
      <c r="G685" s="869" t="s">
        <v>650</v>
      </c>
      <c r="H685" s="869" t="s">
        <v>651</v>
      </c>
      <c r="I685" s="901">
        <f>+'Vida Digna'!Z186</f>
        <v>0.74220833333333336</v>
      </c>
      <c r="J685" s="869" t="s">
        <v>620</v>
      </c>
      <c r="K685" s="873" t="s">
        <v>2004</v>
      </c>
      <c r="P685"/>
    </row>
    <row r="686" spans="1:16" ht="29.4" thickBot="1" x14ac:dyDescent="0.35">
      <c r="A686" s="869" t="s">
        <v>2205</v>
      </c>
      <c r="B686" s="872">
        <f>'[1]PLAN DE DESARROLLO 2024 - 2027'!$K$46</f>
        <v>0.28357478219025023</v>
      </c>
      <c r="C686" s="869" t="s">
        <v>2248</v>
      </c>
      <c r="D686" s="872">
        <f>'[1]PLAN DE DESARROLLO 2024 - 2027'!$K$80</f>
        <v>0.32618503263111615</v>
      </c>
      <c r="E686" s="869" t="s">
        <v>2260</v>
      </c>
      <c r="F686" s="872">
        <f>'[1]PLAN DE DESARROLLO 2024 - 2027'!$K$87</f>
        <v>0.45795641025641026</v>
      </c>
      <c r="G686" s="869" t="s">
        <v>652</v>
      </c>
      <c r="H686" s="869" t="s">
        <v>653</v>
      </c>
      <c r="I686" s="901">
        <f>+'Vida Digna'!Z188</f>
        <v>0.68</v>
      </c>
      <c r="J686" s="869" t="s">
        <v>620</v>
      </c>
      <c r="K686" s="873" t="s">
        <v>2004</v>
      </c>
      <c r="P686"/>
    </row>
    <row r="687" spans="1:16" ht="29.4" thickBot="1" x14ac:dyDescent="0.35">
      <c r="A687" s="869" t="s">
        <v>2205</v>
      </c>
      <c r="B687" s="872">
        <f>'[1]PLAN DE DESARROLLO 2024 - 2027'!$K$46</f>
        <v>0.28357478219025023</v>
      </c>
      <c r="C687" s="869" t="s">
        <v>2248</v>
      </c>
      <c r="D687" s="872">
        <f>'[1]PLAN DE DESARROLLO 2024 - 2027'!$K$80</f>
        <v>0.32618503263111615</v>
      </c>
      <c r="E687" s="869" t="s">
        <v>2260</v>
      </c>
      <c r="F687" s="872">
        <f>'[1]PLAN DE DESARROLLO 2024 - 2027'!$K$87</f>
        <v>0.45795641025641026</v>
      </c>
      <c r="G687" s="869" t="s">
        <v>654</v>
      </c>
      <c r="H687" s="869" t="s">
        <v>655</v>
      </c>
      <c r="I687" s="901">
        <f>+'Vida Digna'!Z189</f>
        <v>1</v>
      </c>
      <c r="J687" s="869" t="s">
        <v>620</v>
      </c>
      <c r="K687" s="873" t="s">
        <v>2004</v>
      </c>
      <c r="P687"/>
    </row>
    <row r="688" spans="1:16" ht="29.4" thickBot="1" x14ac:dyDescent="0.35">
      <c r="A688" s="869" t="s">
        <v>2205</v>
      </c>
      <c r="B688" s="872">
        <f>'[1]PLAN DE DESARROLLO 2024 - 2027'!$K$46</f>
        <v>0.28357478219025023</v>
      </c>
      <c r="C688" s="869" t="s">
        <v>2248</v>
      </c>
      <c r="D688" s="872">
        <f>'[1]PLAN DE DESARROLLO 2024 - 2027'!$K$80</f>
        <v>0.32618503263111615</v>
      </c>
      <c r="E688" s="869" t="s">
        <v>2260</v>
      </c>
      <c r="F688" s="872">
        <f>'[1]PLAN DE DESARROLLO 2024 - 2027'!$K$87</f>
        <v>0.45795641025641026</v>
      </c>
      <c r="G688" s="869" t="s">
        <v>656</v>
      </c>
      <c r="H688" s="869" t="s">
        <v>657</v>
      </c>
      <c r="I688" s="901">
        <f>+'Vida Digna'!Z190</f>
        <v>0.60416666666666663</v>
      </c>
      <c r="J688" s="869" t="s">
        <v>620</v>
      </c>
      <c r="K688" s="873" t="s">
        <v>2004</v>
      </c>
      <c r="P688"/>
    </row>
    <row r="689" spans="1:16" ht="29.4" thickBot="1" x14ac:dyDescent="0.35">
      <c r="A689" s="869" t="s">
        <v>2205</v>
      </c>
      <c r="B689" s="872">
        <f>'[1]PLAN DE DESARROLLO 2024 - 2027'!$K$46</f>
        <v>0.28357478219025023</v>
      </c>
      <c r="C689" s="869" t="s">
        <v>2248</v>
      </c>
      <c r="D689" s="872">
        <f>'[1]PLAN DE DESARROLLO 2024 - 2027'!$K$80</f>
        <v>0.32618503263111615</v>
      </c>
      <c r="E689" s="869" t="s">
        <v>2260</v>
      </c>
      <c r="F689" s="872">
        <f>'[1]PLAN DE DESARROLLO 2024 - 2027'!$K$87</f>
        <v>0.45795641025641026</v>
      </c>
      <c r="G689" s="869" t="s">
        <v>658</v>
      </c>
      <c r="H689" s="869" t="s">
        <v>659</v>
      </c>
      <c r="I689" s="901">
        <f>+'Vida Digna'!Z191</f>
        <v>0.9930461538461538</v>
      </c>
      <c r="J689" s="869" t="s">
        <v>620</v>
      </c>
      <c r="K689" s="873" t="s">
        <v>2004</v>
      </c>
      <c r="P689"/>
    </row>
    <row r="690" spans="1:16" ht="29.4" thickBot="1" x14ac:dyDescent="0.35">
      <c r="A690" s="869" t="s">
        <v>2205</v>
      </c>
      <c r="B690" s="872">
        <f>'[1]PLAN DE DESARROLLO 2024 - 2027'!$K$46</f>
        <v>0.28357478219025023</v>
      </c>
      <c r="C690" s="869" t="s">
        <v>2261</v>
      </c>
      <c r="D690" s="872">
        <f>'[1]PLAN DE DESARROLLO 2024 - 2027'!$K$88</f>
        <v>0.37093448209382435</v>
      </c>
      <c r="E690" s="869" t="s">
        <v>2262</v>
      </c>
      <c r="F690" s="872">
        <f>'[1]PLAN DE DESARROLLO 2024 - 2027'!$K$89</f>
        <v>0.36938472000473066</v>
      </c>
      <c r="G690" s="869" t="s">
        <v>660</v>
      </c>
      <c r="H690" s="869" t="s">
        <v>661</v>
      </c>
      <c r="I690" s="901">
        <f>+'Vida Digna'!Z194</f>
        <v>0.73750000000000004</v>
      </c>
      <c r="J690" s="869" t="s">
        <v>58</v>
      </c>
      <c r="K690" s="873" t="s">
        <v>2004</v>
      </c>
      <c r="P690"/>
    </row>
    <row r="691" spans="1:16" ht="58.2" thickBot="1" x14ac:dyDescent="0.35">
      <c r="A691" s="869" t="s">
        <v>2205</v>
      </c>
      <c r="B691" s="872">
        <f>'[1]PLAN DE DESARROLLO 2024 - 2027'!$K$46</f>
        <v>0.28357478219025023</v>
      </c>
      <c r="C691" s="869" t="s">
        <v>2261</v>
      </c>
      <c r="D691" s="872">
        <f>'[1]PLAN DE DESARROLLO 2024 - 2027'!$K$88</f>
        <v>0.37093448209382435</v>
      </c>
      <c r="E691" s="869" t="s">
        <v>2262</v>
      </c>
      <c r="F691" s="872">
        <f>'[1]PLAN DE DESARROLLO 2024 - 2027'!$K$89</f>
        <v>0.36938472000473066</v>
      </c>
      <c r="G691" s="869" t="s">
        <v>663</v>
      </c>
      <c r="H691" s="869" t="s">
        <v>2263</v>
      </c>
      <c r="I691" s="901">
        <f>+'Vida Digna'!Z195</f>
        <v>0.47794335048193481</v>
      </c>
      <c r="J691" s="869" t="s">
        <v>58</v>
      </c>
      <c r="K691" s="873" t="s">
        <v>2004</v>
      </c>
      <c r="P691"/>
    </row>
    <row r="692" spans="1:16" ht="29.4" thickBot="1" x14ac:dyDescent="0.35">
      <c r="A692" s="869" t="s">
        <v>2205</v>
      </c>
      <c r="B692" s="872">
        <f>'[1]PLAN DE DESARROLLO 2024 - 2027'!$K$46</f>
        <v>0.28357478219025023</v>
      </c>
      <c r="C692" s="869" t="s">
        <v>2261</v>
      </c>
      <c r="D692" s="872">
        <f>'[1]PLAN DE DESARROLLO 2024 - 2027'!$K$88</f>
        <v>0.37093448209382435</v>
      </c>
      <c r="E692" s="869" t="s">
        <v>2262</v>
      </c>
      <c r="F692" s="872">
        <f>'[1]PLAN DE DESARROLLO 2024 - 2027'!$K$89</f>
        <v>0.36938472000473066</v>
      </c>
      <c r="G692" s="869" t="s">
        <v>665</v>
      </c>
      <c r="H692" s="869" t="s">
        <v>666</v>
      </c>
      <c r="I692" s="902">
        <f>+'Vida Digna'!Z196</f>
        <v>1</v>
      </c>
      <c r="J692" s="869" t="s">
        <v>58</v>
      </c>
      <c r="K692" s="873" t="s">
        <v>2004</v>
      </c>
      <c r="P692"/>
    </row>
    <row r="693" spans="1:16" ht="38.4" customHeight="1" thickBot="1" x14ac:dyDescent="0.35">
      <c r="A693" s="869" t="s">
        <v>2205</v>
      </c>
      <c r="B693" s="872">
        <f>'[1]PLAN DE DESARROLLO 2024 - 2027'!$K$46</f>
        <v>0.28357478219025023</v>
      </c>
      <c r="C693" s="869" t="s">
        <v>2261</v>
      </c>
      <c r="D693" s="872">
        <f>'[1]PLAN DE DESARROLLO 2024 - 2027'!$K$88</f>
        <v>0.37093448209382435</v>
      </c>
      <c r="E693" s="869" t="s">
        <v>2262</v>
      </c>
      <c r="F693" s="872">
        <f>'[1]PLAN DE DESARROLLO 2024 - 2027'!$K$89</f>
        <v>0.36938472000473066</v>
      </c>
      <c r="G693" s="869" t="s">
        <v>667</v>
      </c>
      <c r="H693" s="869" t="s">
        <v>668</v>
      </c>
      <c r="I693" s="901">
        <f>+'Vida Digna'!Z197</f>
        <v>0.5</v>
      </c>
      <c r="J693" s="869" t="s">
        <v>58</v>
      </c>
      <c r="K693" s="873" t="s">
        <v>2004</v>
      </c>
      <c r="P693"/>
    </row>
    <row r="694" spans="1:16" ht="43.8" thickBot="1" x14ac:dyDescent="0.35">
      <c r="A694" s="869" t="s">
        <v>2205</v>
      </c>
      <c r="B694" s="872">
        <f>'[1]PLAN DE DESARROLLO 2024 - 2027'!$K$46</f>
        <v>0.28357478219025023</v>
      </c>
      <c r="C694" s="869" t="s">
        <v>2261</v>
      </c>
      <c r="D694" s="872">
        <f>'[1]PLAN DE DESARROLLO 2024 - 2027'!$K$88</f>
        <v>0.37093448209382435</v>
      </c>
      <c r="E694" s="869" t="s">
        <v>1681</v>
      </c>
      <c r="F694" s="872">
        <f>'[1]PLAN DE DESARROLLO 2024 - 2027'!$K$90</f>
        <v>0.26897048611111107</v>
      </c>
      <c r="G694" s="869" t="s">
        <v>669</v>
      </c>
      <c r="H694" s="869" t="s">
        <v>670</v>
      </c>
      <c r="I694" s="901">
        <f>+'Vida Digna'!Z199</f>
        <v>0.60322222222222222</v>
      </c>
      <c r="J694" s="869" t="s">
        <v>58</v>
      </c>
      <c r="K694" s="873" t="s">
        <v>2004</v>
      </c>
      <c r="P694"/>
    </row>
    <row r="695" spans="1:16" ht="43.8" thickBot="1" x14ac:dyDescent="0.35">
      <c r="A695" s="869" t="s">
        <v>2205</v>
      </c>
      <c r="B695" s="872">
        <f>'[1]PLAN DE DESARROLLO 2024 - 2027'!$K$46</f>
        <v>0.28357478219025023</v>
      </c>
      <c r="C695" s="869" t="s">
        <v>2261</v>
      </c>
      <c r="D695" s="872">
        <f>'[1]PLAN DE DESARROLLO 2024 - 2027'!$K$88</f>
        <v>0.37093448209382435</v>
      </c>
      <c r="E695" s="869" t="s">
        <v>1681</v>
      </c>
      <c r="F695" s="872">
        <f>'[1]PLAN DE DESARROLLO 2024 - 2027'!$K$90</f>
        <v>0.26897048611111107</v>
      </c>
      <c r="G695" s="869" t="s">
        <v>671</v>
      </c>
      <c r="H695" s="869" t="s">
        <v>672</v>
      </c>
      <c r="I695" s="901">
        <f>+'Vida Digna'!Z200</f>
        <v>0.26041666666666669</v>
      </c>
      <c r="J695" s="869" t="s">
        <v>58</v>
      </c>
      <c r="K695" s="873" t="s">
        <v>2004</v>
      </c>
      <c r="P695"/>
    </row>
    <row r="696" spans="1:16" ht="43.8" thickBot="1" x14ac:dyDescent="0.35">
      <c r="A696" s="869" t="s">
        <v>2205</v>
      </c>
      <c r="B696" s="872">
        <f>'[1]PLAN DE DESARROLLO 2024 - 2027'!$K$46</f>
        <v>0.28357478219025023</v>
      </c>
      <c r="C696" s="869" t="s">
        <v>2261</v>
      </c>
      <c r="D696" s="872">
        <f>'[1]PLAN DE DESARROLLO 2024 - 2027'!$K$88</f>
        <v>0.37093448209382435</v>
      </c>
      <c r="E696" s="869" t="s">
        <v>1681</v>
      </c>
      <c r="F696" s="872">
        <f>'[1]PLAN DE DESARROLLO 2024 - 2027'!$K$90</f>
        <v>0.26897048611111107</v>
      </c>
      <c r="G696" s="869" t="s">
        <v>673</v>
      </c>
      <c r="H696" s="869" t="s">
        <v>674</v>
      </c>
      <c r="I696" s="901">
        <f>+'Vida Digna'!Z201</f>
        <v>1</v>
      </c>
      <c r="J696" s="869" t="s">
        <v>58</v>
      </c>
      <c r="K696" s="873" t="s">
        <v>2004</v>
      </c>
      <c r="P696"/>
    </row>
    <row r="697" spans="1:16" ht="29.4" thickBot="1" x14ac:dyDescent="0.35">
      <c r="A697" s="869" t="s">
        <v>2205</v>
      </c>
      <c r="B697" s="872">
        <f>'[1]PLAN DE DESARROLLO 2024 - 2027'!$K$46</f>
        <v>0.28357478219025023</v>
      </c>
      <c r="C697" s="869" t="s">
        <v>2261</v>
      </c>
      <c r="D697" s="872">
        <f>'[1]PLAN DE DESARROLLO 2024 - 2027'!$K$88</f>
        <v>0.37093448209382435</v>
      </c>
      <c r="E697" s="869" t="s">
        <v>1681</v>
      </c>
      <c r="F697" s="872">
        <f>'[1]PLAN DE DESARROLLO 2024 - 2027'!$K$90</f>
        <v>0.26897048611111107</v>
      </c>
      <c r="G697" s="869" t="s">
        <v>675</v>
      </c>
      <c r="H697" s="869" t="s">
        <v>676</v>
      </c>
      <c r="I697" s="901">
        <f>+'Vida Digna'!Z202</f>
        <v>0.449125</v>
      </c>
      <c r="J697" s="869" t="s">
        <v>58</v>
      </c>
      <c r="K697" s="873" t="s">
        <v>2004</v>
      </c>
      <c r="P697"/>
    </row>
    <row r="698" spans="1:16" ht="43.8" thickBot="1" x14ac:dyDescent="0.35">
      <c r="A698" s="869" t="s">
        <v>2205</v>
      </c>
      <c r="B698" s="872">
        <f>'[1]PLAN DE DESARROLLO 2024 - 2027'!$K$46</f>
        <v>0.28357478219025023</v>
      </c>
      <c r="C698" s="869" t="s">
        <v>2261</v>
      </c>
      <c r="D698" s="872">
        <f>'[1]PLAN DE DESARROLLO 2024 - 2027'!$K$88</f>
        <v>0.37093448209382435</v>
      </c>
      <c r="E698" s="869" t="s">
        <v>1682</v>
      </c>
      <c r="F698" s="872">
        <f>'[1]PLAN DE DESARROLLO 2024 - 2027'!$K$91</f>
        <v>0.47444824016563147</v>
      </c>
      <c r="G698" s="869" t="s">
        <v>677</v>
      </c>
      <c r="H698" s="869" t="s">
        <v>678</v>
      </c>
      <c r="I698" s="901">
        <f>+'Vida Digna'!Z204</f>
        <v>0.8941269841269841</v>
      </c>
      <c r="J698" s="869" t="s">
        <v>58</v>
      </c>
      <c r="K698" s="873" t="s">
        <v>2004</v>
      </c>
      <c r="P698"/>
    </row>
    <row r="699" spans="1:16" ht="29.4" thickBot="1" x14ac:dyDescent="0.35">
      <c r="A699" s="869" t="s">
        <v>2205</v>
      </c>
      <c r="B699" s="872">
        <f>'[1]PLAN DE DESARROLLO 2024 - 2027'!$K$46</f>
        <v>0.28357478219025023</v>
      </c>
      <c r="C699" s="869" t="s">
        <v>2261</v>
      </c>
      <c r="D699" s="872">
        <f>'[1]PLAN DE DESARROLLO 2024 - 2027'!$J$88</f>
        <v>0.33997892066194169</v>
      </c>
      <c r="E699" s="869" t="s">
        <v>1682</v>
      </c>
      <c r="F699" s="872">
        <f>'[1]PLAN DE DESARROLLO 2024 - 2027'!$K$91</f>
        <v>0.47444824016563147</v>
      </c>
      <c r="G699" s="869" t="s">
        <v>679</v>
      </c>
      <c r="H699" s="869" t="s">
        <v>680</v>
      </c>
      <c r="I699" s="901">
        <f>+'Vida Digna'!Z205</f>
        <v>0.79739130434782612</v>
      </c>
      <c r="J699" s="869" t="s">
        <v>58</v>
      </c>
      <c r="K699" s="873" t="s">
        <v>2004</v>
      </c>
      <c r="P699"/>
    </row>
    <row r="700" spans="1:16" s="866" customFormat="1" ht="43.2" x14ac:dyDescent="0.3">
      <c r="A700" s="869" t="s">
        <v>2151</v>
      </c>
      <c r="B700" s="877">
        <f>'[1]PLAN DE DESARROLLO 2024 - 2027'!$M$4</f>
        <v>0.24028917333263158</v>
      </c>
      <c r="C700" s="869" t="s">
        <v>2152</v>
      </c>
      <c r="D700" s="878">
        <f>'[1]PLAN DE DESARROLLO 2024 - 2027'!$M$26</f>
        <v>0.20558940382884341</v>
      </c>
      <c r="E700" s="869" t="s">
        <v>2170</v>
      </c>
      <c r="F700" s="879">
        <f>[2]Hoja1!$B$6</f>
        <v>0.24820393974507535</v>
      </c>
      <c r="G700" s="869" t="s">
        <v>246</v>
      </c>
      <c r="H700" s="869" t="s">
        <v>247</v>
      </c>
      <c r="I700" s="869"/>
      <c r="J700" s="869" t="s">
        <v>58</v>
      </c>
      <c r="K700" s="880" t="s">
        <v>2264</v>
      </c>
    </row>
    <row r="701" spans="1:16" s="866" customFormat="1" ht="43.2" x14ac:dyDescent="0.3">
      <c r="A701" s="869" t="s">
        <v>2151</v>
      </c>
      <c r="B701" s="877">
        <f>'[1]PLAN DE DESARROLLO 2024 - 2027'!$M$4</f>
        <v>0.24028917333263158</v>
      </c>
      <c r="C701" s="869" t="s">
        <v>2152</v>
      </c>
      <c r="D701" s="878">
        <f>'[1]PLAN DE DESARROLLO 2024 - 2027'!$M$26</f>
        <v>0.20558940382884341</v>
      </c>
      <c r="E701" s="869" t="s">
        <v>2170</v>
      </c>
      <c r="F701" s="879">
        <f>[2]Hoja1!$B$6</f>
        <v>0.24820393974507535</v>
      </c>
      <c r="G701" s="869" t="s">
        <v>248</v>
      </c>
      <c r="H701" s="869" t="s">
        <v>2171</v>
      </c>
      <c r="I701" s="869"/>
      <c r="J701" s="869" t="s">
        <v>58</v>
      </c>
      <c r="K701" s="880" t="s">
        <v>2264</v>
      </c>
    </row>
    <row r="702" spans="1:16" s="866" customFormat="1" ht="28.8" x14ac:dyDescent="0.3">
      <c r="A702" s="869" t="s">
        <v>2205</v>
      </c>
      <c r="B702" s="877">
        <f>'[1]PLAN DE DESARROLLO 2024 - 2027'!$M$46</f>
        <v>0.25251661967012345</v>
      </c>
      <c r="C702" s="869" t="s">
        <v>2237</v>
      </c>
      <c r="D702" s="878">
        <f>'[1]PLAN DE DESARROLLO 2024 - 2027'!$M$64</f>
        <v>0.21558039327044773</v>
      </c>
      <c r="E702" s="869" t="s">
        <v>1656</v>
      </c>
      <c r="F702" s="879">
        <f>[2]Hoja1!$B$3</f>
        <v>0.39456388039163154</v>
      </c>
      <c r="G702" s="869" t="s">
        <v>499</v>
      </c>
      <c r="H702" s="869" t="s">
        <v>500</v>
      </c>
      <c r="I702" s="869"/>
      <c r="J702" s="869" t="s">
        <v>2238</v>
      </c>
      <c r="K702" s="880" t="s">
        <v>2264</v>
      </c>
    </row>
    <row r="703" spans="1:16" s="866" customFormat="1" ht="28.8" x14ac:dyDescent="0.3">
      <c r="A703" s="869" t="s">
        <v>2205</v>
      </c>
      <c r="B703" s="877">
        <f>'[1]PLAN DE DESARROLLO 2024 - 2027'!$M$46</f>
        <v>0.25251661967012345</v>
      </c>
      <c r="C703" s="869" t="s">
        <v>2237</v>
      </c>
      <c r="D703" s="878">
        <f>'[1]PLAN DE DESARROLLO 2024 - 2027'!$M$64</f>
        <v>0.21558039327044773</v>
      </c>
      <c r="E703" s="869" t="s">
        <v>1656</v>
      </c>
      <c r="F703" s="879">
        <f>[2]Hoja1!$B$3</f>
        <v>0.39456388039163154</v>
      </c>
      <c r="G703" s="869" t="s">
        <v>502</v>
      </c>
      <c r="H703" s="869" t="s">
        <v>503</v>
      </c>
      <c r="I703" s="869"/>
      <c r="J703" s="869" t="s">
        <v>2238</v>
      </c>
      <c r="K703" s="880" t="s">
        <v>2264</v>
      </c>
    </row>
    <row r="704" spans="1:16" s="866" customFormat="1" ht="28.8" x14ac:dyDescent="0.3">
      <c r="A704" s="869" t="s">
        <v>2205</v>
      </c>
      <c r="B704" s="877">
        <f>'[1]PLAN DE DESARROLLO 2024 - 2027'!$M$46</f>
        <v>0.25251661967012345</v>
      </c>
      <c r="C704" s="869" t="s">
        <v>2237</v>
      </c>
      <c r="D704" s="878">
        <f>'[1]PLAN DE DESARROLLO 2024 - 2027'!$M$64</f>
        <v>0.21558039327044773</v>
      </c>
      <c r="E704" s="869" t="s">
        <v>1656</v>
      </c>
      <c r="F704" s="879">
        <f>[2]Hoja1!$B$3</f>
        <v>0.39456388039163154</v>
      </c>
      <c r="G704" s="869" t="s">
        <v>504</v>
      </c>
      <c r="H704" s="869" t="s">
        <v>505</v>
      </c>
      <c r="I704" s="869"/>
      <c r="J704" s="869" t="s">
        <v>2238</v>
      </c>
      <c r="K704" s="880" t="s">
        <v>2264</v>
      </c>
    </row>
    <row r="705" spans="1:11" s="866" customFormat="1" ht="43.2" x14ac:dyDescent="0.3">
      <c r="A705" s="869" t="s">
        <v>2205</v>
      </c>
      <c r="B705" s="877">
        <f>'[1]PLAN DE DESARROLLO 2024 - 2027'!$M$46</f>
        <v>0.25251661967012345</v>
      </c>
      <c r="C705" s="869" t="s">
        <v>2237</v>
      </c>
      <c r="D705" s="878">
        <f>'[1]PLAN DE DESARROLLO 2024 - 2027'!$M$64</f>
        <v>0.21558039327044773</v>
      </c>
      <c r="E705" s="869" t="s">
        <v>1656</v>
      </c>
      <c r="F705" s="879">
        <f>[2]Hoja1!$B$3</f>
        <v>0.39456388039163154</v>
      </c>
      <c r="G705" s="869" t="s">
        <v>506</v>
      </c>
      <c r="H705" s="869" t="s">
        <v>507</v>
      </c>
      <c r="I705" s="869"/>
      <c r="J705" s="869" t="s">
        <v>2238</v>
      </c>
      <c r="K705" s="880" t="s">
        <v>2264</v>
      </c>
    </row>
    <row r="706" spans="1:11" s="866" customFormat="1" ht="28.8" x14ac:dyDescent="0.3">
      <c r="A706" s="869" t="s">
        <v>2205</v>
      </c>
      <c r="B706" s="877">
        <f>'[1]PLAN DE DESARROLLO 2024 - 2027'!$M$46</f>
        <v>0.25251661967012345</v>
      </c>
      <c r="C706" s="869" t="s">
        <v>2237</v>
      </c>
      <c r="D706" s="878">
        <f>'[1]PLAN DE DESARROLLO 2024 - 2027'!$M$64</f>
        <v>0.21558039327044773</v>
      </c>
      <c r="E706" s="869" t="s">
        <v>1656</v>
      </c>
      <c r="F706" s="879">
        <f>[2]Hoja1!$B$3</f>
        <v>0.39456388039163154</v>
      </c>
      <c r="G706" s="869" t="s">
        <v>508</v>
      </c>
      <c r="H706" s="869" t="s">
        <v>509</v>
      </c>
      <c r="I706" s="869"/>
      <c r="J706" s="869" t="s">
        <v>2238</v>
      </c>
      <c r="K706" s="880" t="s">
        <v>2264</v>
      </c>
    </row>
    <row r="707" spans="1:11" s="866" customFormat="1" ht="28.8" x14ac:dyDescent="0.3">
      <c r="A707" s="869" t="s">
        <v>2205</v>
      </c>
      <c r="B707" s="877">
        <f>'[1]PLAN DE DESARROLLO 2024 - 2027'!$M$46</f>
        <v>0.25251661967012345</v>
      </c>
      <c r="C707" s="869" t="s">
        <v>2237</v>
      </c>
      <c r="D707" s="878">
        <f>'[1]PLAN DE DESARROLLO 2024 - 2027'!$M$64</f>
        <v>0.21558039327044773</v>
      </c>
      <c r="E707" s="869" t="s">
        <v>1656</v>
      </c>
      <c r="F707" s="879">
        <f>[2]Hoja1!$B$3</f>
        <v>0.39456388039163154</v>
      </c>
      <c r="G707" s="869" t="s">
        <v>510</v>
      </c>
      <c r="H707" s="869" t="s">
        <v>511</v>
      </c>
      <c r="I707" s="869"/>
      <c r="J707" s="869" t="s">
        <v>2238</v>
      </c>
      <c r="K707" s="880" t="s">
        <v>2264</v>
      </c>
    </row>
    <row r="708" spans="1:11" s="866" customFormat="1" ht="28.8" x14ac:dyDescent="0.3">
      <c r="A708" s="869" t="s">
        <v>2205</v>
      </c>
      <c r="B708" s="877">
        <f>'[1]PLAN DE DESARROLLO 2024 - 2027'!$M$46</f>
        <v>0.25251661967012345</v>
      </c>
      <c r="C708" s="869" t="s">
        <v>2237</v>
      </c>
      <c r="D708" s="878">
        <f>'[1]PLAN DE DESARROLLO 2024 - 2027'!$M$64</f>
        <v>0.21558039327044773</v>
      </c>
      <c r="E708" s="869" t="s">
        <v>1656</v>
      </c>
      <c r="F708" s="879">
        <f>[2]Hoja1!$B$3</f>
        <v>0.39456388039163154</v>
      </c>
      <c r="G708" s="869" t="s">
        <v>512</v>
      </c>
      <c r="H708" s="869" t="s">
        <v>513</v>
      </c>
      <c r="I708" s="869"/>
      <c r="J708" s="869" t="s">
        <v>2238</v>
      </c>
      <c r="K708" s="880" t="s">
        <v>2264</v>
      </c>
    </row>
    <row r="709" spans="1:11" s="866" customFormat="1" ht="86.4" x14ac:dyDescent="0.3">
      <c r="A709" s="869" t="s">
        <v>2205</v>
      </c>
      <c r="B709" s="877">
        <f>'[1]PLAN DE DESARROLLO 2024 - 2027'!$M$46</f>
        <v>0.25251661967012345</v>
      </c>
      <c r="C709" s="869" t="s">
        <v>2237</v>
      </c>
      <c r="D709" s="878">
        <f>'[1]PLAN DE DESARROLLO 2024 - 2027'!$M$64</f>
        <v>0.21558039327044773</v>
      </c>
      <c r="E709" s="869" t="s">
        <v>1656</v>
      </c>
      <c r="F709" s="879">
        <f>[2]Hoja1!$B$3</f>
        <v>0.39456388039163154</v>
      </c>
      <c r="G709" s="869" t="s">
        <v>514</v>
      </c>
      <c r="H709" s="869" t="s">
        <v>2239</v>
      </c>
      <c r="I709" s="869"/>
      <c r="J709" s="869" t="s">
        <v>516</v>
      </c>
      <c r="K709" s="880" t="s">
        <v>2264</v>
      </c>
    </row>
    <row r="710" spans="1:11" s="866" customFormat="1" ht="28.8" x14ac:dyDescent="0.3">
      <c r="A710" s="869" t="s">
        <v>2025</v>
      </c>
      <c r="B710" s="881">
        <f>'[1]PLAN DE DESARROLLO 2024 - 2027'!$M$123</f>
        <v>0.20174333228533195</v>
      </c>
      <c r="C710" s="869" t="s">
        <v>2062</v>
      </c>
      <c r="D710" s="878">
        <f>'[1]PLAN DE DESARROLLO 2024 - 2027'!$M$136</f>
        <v>0.3779372351486594</v>
      </c>
      <c r="E710" s="869" t="s">
        <v>2068</v>
      </c>
      <c r="F710" s="882">
        <f>[2]Hoja1!$B$4</f>
        <v>0.78099999999999992</v>
      </c>
      <c r="G710" s="869" t="s">
        <v>864</v>
      </c>
      <c r="H710" s="869" t="s">
        <v>1317</v>
      </c>
      <c r="I710" s="869"/>
      <c r="J710" s="869" t="s">
        <v>2069</v>
      </c>
      <c r="K710" s="880" t="s">
        <v>2264</v>
      </c>
    </row>
    <row r="711" spans="1:11" s="866" customFormat="1" ht="28.8" x14ac:dyDescent="0.3">
      <c r="A711" s="869" t="s">
        <v>2025</v>
      </c>
      <c r="B711" s="881">
        <f>'[1]PLAN DE DESARROLLO 2024 - 2027'!$M$123</f>
        <v>0.20174333228533195</v>
      </c>
      <c r="C711" s="869" t="s">
        <v>2062</v>
      </c>
      <c r="D711" s="878">
        <f>'[1]PLAN DE DESARROLLO 2024 - 2027'!$M$136</f>
        <v>0.3779372351486594</v>
      </c>
      <c r="E711" s="869" t="s">
        <v>2068</v>
      </c>
      <c r="F711" s="882">
        <f>[2]Hoja1!$B$4</f>
        <v>0.78099999999999992</v>
      </c>
      <c r="G711" s="869" t="s">
        <v>865</v>
      </c>
      <c r="H711" s="869" t="s">
        <v>1318</v>
      </c>
      <c r="I711" s="869"/>
      <c r="J711" s="869" t="s">
        <v>1540</v>
      </c>
      <c r="K711" s="880" t="s">
        <v>2264</v>
      </c>
    </row>
    <row r="712" spans="1:11" s="866" customFormat="1" ht="28.8" x14ac:dyDescent="0.3">
      <c r="A712" s="869" t="s">
        <v>2025</v>
      </c>
      <c r="B712" s="881">
        <f>'[1]PLAN DE DESARROLLO 2024 - 2027'!$M$123</f>
        <v>0.20174333228533195</v>
      </c>
      <c r="C712" s="869" t="s">
        <v>2062</v>
      </c>
      <c r="D712" s="878">
        <f>'[1]PLAN DE DESARROLLO 2024 - 2027'!$M$136</f>
        <v>0.3779372351486594</v>
      </c>
      <c r="E712" s="869" t="s">
        <v>2064</v>
      </c>
      <c r="F712" s="879">
        <f>[2]Hoja1!$B$40</f>
        <v>0.35532727272727277</v>
      </c>
      <c r="G712" s="869" t="s">
        <v>851</v>
      </c>
      <c r="H712" s="869" t="s">
        <v>1306</v>
      </c>
      <c r="I712" s="869"/>
      <c r="J712" s="869" t="s">
        <v>852</v>
      </c>
      <c r="K712" s="880" t="s">
        <v>2264</v>
      </c>
    </row>
    <row r="713" spans="1:11" s="866" customFormat="1" ht="54.75" customHeight="1" x14ac:dyDescent="0.3">
      <c r="A713" s="869" t="s">
        <v>2025</v>
      </c>
      <c r="B713" s="881">
        <f>'[1]PLAN DE DESARROLLO 2024 - 2027'!$M$123</f>
        <v>0.20174333228533195</v>
      </c>
      <c r="C713" s="869" t="s">
        <v>2062</v>
      </c>
      <c r="D713" s="878">
        <f>'[1]PLAN DE DESARROLLO 2024 - 2027'!$M$136</f>
        <v>0.3779372351486594</v>
      </c>
      <c r="E713" s="869" t="s">
        <v>2064</v>
      </c>
      <c r="F713" s="879">
        <f>[2]Hoja1!$B$40</f>
        <v>0.35532727272727277</v>
      </c>
      <c r="G713" s="869" t="s">
        <v>853</v>
      </c>
      <c r="H713" s="869" t="s">
        <v>1307</v>
      </c>
      <c r="I713" s="869"/>
      <c r="J713" s="869" t="s">
        <v>2065</v>
      </c>
      <c r="K713" s="880" t="s">
        <v>2264</v>
      </c>
    </row>
    <row r="714" spans="1:11" s="866" customFormat="1" ht="28.8" x14ac:dyDescent="0.3">
      <c r="A714" s="869" t="s">
        <v>2151</v>
      </c>
      <c r="B714" s="877">
        <f>'[1]PLAN DE DESARROLLO 2024 - 2027'!$M$4</f>
        <v>0.24028917333263158</v>
      </c>
      <c r="C714" s="869" t="s">
        <v>2152</v>
      </c>
      <c r="D714" s="878">
        <f>'[1]PLAN DE DESARROLLO 2024 - 2027'!$M$26</f>
        <v>0.20558940382884341</v>
      </c>
      <c r="E714" s="869" t="s">
        <v>1615</v>
      </c>
      <c r="F714" s="879">
        <f>[2]Hoja1!$B$9</f>
        <v>2.5000000000000001E-2</v>
      </c>
      <c r="G714" s="869" t="s">
        <v>264</v>
      </c>
      <c r="H714" s="869" t="s">
        <v>265</v>
      </c>
      <c r="I714" s="869"/>
      <c r="J714" s="869" t="s">
        <v>12</v>
      </c>
      <c r="K714" s="880" t="s">
        <v>2264</v>
      </c>
    </row>
    <row r="715" spans="1:11" s="866" customFormat="1" ht="28.8" x14ac:dyDescent="0.3">
      <c r="A715" s="869" t="s">
        <v>2151</v>
      </c>
      <c r="B715" s="877">
        <f>'[1]PLAN DE DESARROLLO 2024 - 2027'!$M$4</f>
        <v>0.24028917333263158</v>
      </c>
      <c r="C715" s="869" t="s">
        <v>2152</v>
      </c>
      <c r="D715" s="878">
        <f>'[1]PLAN DE DESARROLLO 2024 - 2027'!$M$26</f>
        <v>0.20558940382884341</v>
      </c>
      <c r="E715" s="869" t="s">
        <v>1615</v>
      </c>
      <c r="F715" s="879">
        <f>[2]Hoja1!$B$9</f>
        <v>2.5000000000000001E-2</v>
      </c>
      <c r="G715" s="869" t="s">
        <v>266</v>
      </c>
      <c r="H715" s="869" t="s">
        <v>267</v>
      </c>
      <c r="I715" s="869"/>
      <c r="J715" s="869" t="s">
        <v>12</v>
      </c>
      <c r="K715" s="880" t="s">
        <v>2264</v>
      </c>
    </row>
    <row r="716" spans="1:11" s="866" customFormat="1" ht="43.2" x14ac:dyDescent="0.3">
      <c r="A716" s="869" t="s">
        <v>2151</v>
      </c>
      <c r="B716" s="877">
        <f>'[1]PLAN DE DESARROLLO 2024 - 2027'!$M$4</f>
        <v>0.24028917333263158</v>
      </c>
      <c r="C716" s="869" t="s">
        <v>2152</v>
      </c>
      <c r="D716" s="878">
        <f>'[1]PLAN DE DESARROLLO 2024 - 2027'!$M$26</f>
        <v>0.20558940382884341</v>
      </c>
      <c r="E716" s="869" t="s">
        <v>1615</v>
      </c>
      <c r="F716" s="879">
        <f>[2]Hoja1!$B$9</f>
        <v>2.5000000000000001E-2</v>
      </c>
      <c r="G716" s="869" t="s">
        <v>268</v>
      </c>
      <c r="H716" s="869" t="s">
        <v>269</v>
      </c>
      <c r="I716" s="869"/>
      <c r="J716" s="869" t="s">
        <v>2174</v>
      </c>
      <c r="K716" s="880" t="s">
        <v>2264</v>
      </c>
    </row>
    <row r="717" spans="1:11" s="866" customFormat="1" ht="28.8" x14ac:dyDescent="0.3">
      <c r="A717" s="869" t="s">
        <v>2151</v>
      </c>
      <c r="B717" s="877">
        <f>'[1]PLAN DE DESARROLLO 2024 - 2027'!$M$4</f>
        <v>0.24028917333263158</v>
      </c>
      <c r="C717" s="869" t="s">
        <v>2152</v>
      </c>
      <c r="D717" s="878">
        <f>'[1]PLAN DE DESARROLLO 2024 - 2027'!$M$26</f>
        <v>0.20558940382884341</v>
      </c>
      <c r="E717" s="869" t="s">
        <v>1615</v>
      </c>
      <c r="F717" s="879">
        <f>[2]Hoja1!$B$9</f>
        <v>2.5000000000000001E-2</v>
      </c>
      <c r="G717" s="869" t="s">
        <v>270</v>
      </c>
      <c r="H717" s="869" t="s">
        <v>271</v>
      </c>
      <c r="I717" s="869"/>
      <c r="J717" s="869" t="s">
        <v>12</v>
      </c>
      <c r="K717" s="880" t="s">
        <v>2264</v>
      </c>
    </row>
    <row r="718" spans="1:11" s="866" customFormat="1" ht="28.8" x14ac:dyDescent="0.3">
      <c r="A718" s="869" t="s">
        <v>2151</v>
      </c>
      <c r="B718" s="877">
        <f>'[1]PLAN DE DESARROLLO 2024 - 2027'!$M$4</f>
        <v>0.24028917333263158</v>
      </c>
      <c r="C718" s="869" t="s">
        <v>2152</v>
      </c>
      <c r="D718" s="878">
        <f>'[1]PLAN DE DESARROLLO 2024 - 2027'!$M$26</f>
        <v>0.20558940382884341</v>
      </c>
      <c r="E718" s="869" t="s">
        <v>1615</v>
      </c>
      <c r="F718" s="879">
        <f>[2]Hoja1!$B$9</f>
        <v>2.5000000000000001E-2</v>
      </c>
      <c r="G718" s="869" t="s">
        <v>272</v>
      </c>
      <c r="H718" s="869" t="s">
        <v>273</v>
      </c>
      <c r="I718" s="869"/>
      <c r="J718" s="869" t="s">
        <v>162</v>
      </c>
      <c r="K718" s="880" t="s">
        <v>2264</v>
      </c>
    </row>
    <row r="719" spans="1:11" s="866" customFormat="1" ht="28.8" x14ac:dyDescent="0.3">
      <c r="A719" s="869" t="s">
        <v>2151</v>
      </c>
      <c r="B719" s="877">
        <f>'[1]PLAN DE DESARROLLO 2024 - 2027'!$M$4</f>
        <v>0.24028917333263158</v>
      </c>
      <c r="C719" s="869" t="s">
        <v>2152</v>
      </c>
      <c r="D719" s="878">
        <f>'[1]PLAN DE DESARROLLO 2024 - 2027'!$M$26</f>
        <v>0.20558940382884341</v>
      </c>
      <c r="E719" s="869" t="s">
        <v>1615</v>
      </c>
      <c r="F719" s="879">
        <f>[2]Hoja1!$B$9</f>
        <v>2.5000000000000001E-2</v>
      </c>
      <c r="G719" s="869" t="s">
        <v>274</v>
      </c>
      <c r="H719" s="869" t="s">
        <v>275</v>
      </c>
      <c r="I719" s="869"/>
      <c r="J719" s="869" t="s">
        <v>516</v>
      </c>
      <c r="K719" s="880" t="s">
        <v>2264</v>
      </c>
    </row>
    <row r="720" spans="1:11" s="866" customFormat="1" ht="43.2" x14ac:dyDescent="0.3">
      <c r="A720" s="869" t="s">
        <v>2151</v>
      </c>
      <c r="B720" s="877">
        <f>'[1]PLAN DE DESARROLLO 2024 - 2027'!$M$4</f>
        <v>0.24028917333263158</v>
      </c>
      <c r="C720" s="869" t="s">
        <v>2152</v>
      </c>
      <c r="D720" s="878">
        <f>'[1]PLAN DE DESARROLLO 2024 - 2027'!$M$26</f>
        <v>0.20558940382884341</v>
      </c>
      <c r="E720" s="869" t="s">
        <v>1616</v>
      </c>
      <c r="F720" s="879">
        <f>[2]Hoja1!$B$28</f>
        <v>0.19040000000000001</v>
      </c>
      <c r="G720" s="869" t="s">
        <v>276</v>
      </c>
      <c r="H720" s="869" t="s">
        <v>277</v>
      </c>
      <c r="I720" s="869"/>
      <c r="J720" s="869" t="s">
        <v>58</v>
      </c>
      <c r="K720" s="880" t="s">
        <v>2264</v>
      </c>
    </row>
    <row r="721" spans="1:11" s="866" customFormat="1" ht="43.2" x14ac:dyDescent="0.3">
      <c r="A721" s="869" t="s">
        <v>2151</v>
      </c>
      <c r="B721" s="877">
        <f>'[1]PLAN DE DESARROLLO 2024 - 2027'!$M$4</f>
        <v>0.24028917333263158</v>
      </c>
      <c r="C721" s="869" t="s">
        <v>2152</v>
      </c>
      <c r="D721" s="878">
        <f>'[1]PLAN DE DESARROLLO 2024 - 2027'!$M$26</f>
        <v>0.20558940382884341</v>
      </c>
      <c r="E721" s="869" t="s">
        <v>1616</v>
      </c>
      <c r="F721" s="879">
        <f>[2]Hoja1!$B$28</f>
        <v>0.19040000000000001</v>
      </c>
      <c r="G721" s="869" t="s">
        <v>278</v>
      </c>
      <c r="H721" s="869" t="s">
        <v>279</v>
      </c>
      <c r="I721" s="869"/>
      <c r="J721" s="869" t="s">
        <v>58</v>
      </c>
      <c r="K721" s="880" t="s">
        <v>2264</v>
      </c>
    </row>
    <row r="722" spans="1:11" s="866" customFormat="1" ht="28.8" x14ac:dyDescent="0.3">
      <c r="A722" s="869" t="s">
        <v>2151</v>
      </c>
      <c r="B722" s="877">
        <f>'[1]PLAN DE DESARROLLO 2024 - 2027'!$M$4</f>
        <v>0.24028917333263158</v>
      </c>
      <c r="C722" s="869" t="s">
        <v>2152</v>
      </c>
      <c r="D722" s="878">
        <f>'[1]PLAN DE DESARROLLO 2024 - 2027'!$M$26</f>
        <v>0.20558940382884341</v>
      </c>
      <c r="E722" s="869" t="s">
        <v>1616</v>
      </c>
      <c r="F722" s="879">
        <f>[2]Hoja1!$B$28</f>
        <v>0.19040000000000001</v>
      </c>
      <c r="G722" s="869" t="s">
        <v>280</v>
      </c>
      <c r="H722" s="869" t="s">
        <v>281</v>
      </c>
      <c r="I722" s="869"/>
      <c r="J722" s="869" t="s">
        <v>58</v>
      </c>
      <c r="K722" s="880" t="s">
        <v>2264</v>
      </c>
    </row>
    <row r="723" spans="1:11" s="866" customFormat="1" ht="72" x14ac:dyDescent="0.3">
      <c r="A723" s="869" t="s">
        <v>2151</v>
      </c>
      <c r="B723" s="877">
        <f>'[1]PLAN DE DESARROLLO 2024 - 2027'!$M$4</f>
        <v>0.24028917333263158</v>
      </c>
      <c r="C723" s="869" t="s">
        <v>2152</v>
      </c>
      <c r="D723" s="878">
        <f>'[1]PLAN DE DESARROLLO 2024 - 2027'!$M$26</f>
        <v>0.20558940382884341</v>
      </c>
      <c r="E723" s="869" t="s">
        <v>1616</v>
      </c>
      <c r="F723" s="879">
        <f>[2]Hoja1!$B$28</f>
        <v>0.19040000000000001</v>
      </c>
      <c r="G723" s="869" t="s">
        <v>2175</v>
      </c>
      <c r="H723" s="869" t="s">
        <v>283</v>
      </c>
      <c r="I723" s="869"/>
      <c r="J723" s="869" t="s">
        <v>58</v>
      </c>
      <c r="K723" s="880" t="s">
        <v>2264</v>
      </c>
    </row>
    <row r="724" spans="1:11" s="866" customFormat="1" ht="57.6" x14ac:dyDescent="0.3">
      <c r="A724" s="869" t="s">
        <v>2151</v>
      </c>
      <c r="B724" s="877">
        <f>'[1]PLAN DE DESARROLLO 2024 - 2027'!$M$4</f>
        <v>0.24028917333263158</v>
      </c>
      <c r="C724" s="869" t="s">
        <v>2152</v>
      </c>
      <c r="D724" s="878">
        <f>'[1]PLAN DE DESARROLLO 2024 - 2027'!$M$26</f>
        <v>0.20558940382884341</v>
      </c>
      <c r="E724" s="869" t="s">
        <v>1616</v>
      </c>
      <c r="F724" s="879">
        <f>[2]Hoja1!$B$28</f>
        <v>0.19040000000000001</v>
      </c>
      <c r="G724" s="869" t="s">
        <v>284</v>
      </c>
      <c r="H724" s="869" t="s">
        <v>285</v>
      </c>
      <c r="I724" s="869"/>
      <c r="J724" s="869" t="s">
        <v>58</v>
      </c>
      <c r="K724" s="880" t="s">
        <v>2264</v>
      </c>
    </row>
    <row r="725" spans="1:11" s="866" customFormat="1" ht="28.8" x14ac:dyDescent="0.3">
      <c r="A725" s="869" t="s">
        <v>2151</v>
      </c>
      <c r="B725" s="877">
        <f>'[1]PLAN DE DESARROLLO 2024 - 2027'!$M$4</f>
        <v>0.24028917333263158</v>
      </c>
      <c r="C725" s="869" t="s">
        <v>2152</v>
      </c>
      <c r="D725" s="878">
        <f>'[1]PLAN DE DESARROLLO 2024 - 2027'!$M$26</f>
        <v>0.20558940382884341</v>
      </c>
      <c r="E725" s="869" t="s">
        <v>2173</v>
      </c>
      <c r="F725" s="879">
        <f>[2]Hoja1!$B$38</f>
        <v>0.26875000000000004</v>
      </c>
      <c r="G725" s="869" t="s">
        <v>256</v>
      </c>
      <c r="H725" s="869" t="s">
        <v>257</v>
      </c>
      <c r="I725" s="869"/>
      <c r="J725" s="869" t="s">
        <v>58</v>
      </c>
      <c r="K725" s="880" t="s">
        <v>2264</v>
      </c>
    </row>
    <row r="726" spans="1:11" s="866" customFormat="1" ht="28.8" x14ac:dyDescent="0.3">
      <c r="A726" s="869" t="s">
        <v>2151</v>
      </c>
      <c r="B726" s="877">
        <f>'[1]PLAN DE DESARROLLO 2024 - 2027'!$M$4</f>
        <v>0.24028917333263158</v>
      </c>
      <c r="C726" s="869" t="s">
        <v>2152</v>
      </c>
      <c r="D726" s="878">
        <f>'[1]PLAN DE DESARROLLO 2024 - 2027'!$M$26</f>
        <v>0.20558940382884341</v>
      </c>
      <c r="E726" s="869" t="s">
        <v>2173</v>
      </c>
      <c r="F726" s="879">
        <f>[2]Hoja1!$B$38</f>
        <v>0.26875000000000004</v>
      </c>
      <c r="G726" s="869" t="s">
        <v>258</v>
      </c>
      <c r="H726" s="869" t="s">
        <v>259</v>
      </c>
      <c r="I726" s="869"/>
      <c r="J726" s="869" t="s">
        <v>58</v>
      </c>
      <c r="K726" s="880" t="s">
        <v>2264</v>
      </c>
    </row>
    <row r="727" spans="1:11" s="866" customFormat="1" ht="28.8" x14ac:dyDescent="0.3">
      <c r="A727" s="869" t="s">
        <v>2151</v>
      </c>
      <c r="B727" s="877">
        <f>'[1]PLAN DE DESARROLLO 2024 - 2027'!$M$4</f>
        <v>0.24028917333263158</v>
      </c>
      <c r="C727" s="869" t="s">
        <v>2152</v>
      </c>
      <c r="D727" s="878">
        <f>'[1]PLAN DE DESARROLLO 2024 - 2027'!$M$26</f>
        <v>0.20558940382884341</v>
      </c>
      <c r="E727" s="869" t="s">
        <v>2173</v>
      </c>
      <c r="F727" s="879">
        <f>[2]Hoja1!$B$38</f>
        <v>0.26875000000000004</v>
      </c>
      <c r="G727" s="869" t="s">
        <v>260</v>
      </c>
      <c r="H727" s="869" t="s">
        <v>261</v>
      </c>
      <c r="I727" s="869"/>
      <c r="J727" s="869" t="s">
        <v>58</v>
      </c>
      <c r="K727" s="880" t="s">
        <v>2264</v>
      </c>
    </row>
    <row r="728" spans="1:11" s="866" customFormat="1" ht="28.8" x14ac:dyDescent="0.3">
      <c r="A728" s="869" t="s">
        <v>2151</v>
      </c>
      <c r="B728" s="877">
        <f>'[1]PLAN DE DESARROLLO 2024 - 2027'!$M$4</f>
        <v>0.24028917333263158</v>
      </c>
      <c r="C728" s="869" t="s">
        <v>2152</v>
      </c>
      <c r="D728" s="878">
        <f>'[1]PLAN DE DESARROLLO 2024 - 2027'!$M$26</f>
        <v>0.20558940382884341</v>
      </c>
      <c r="E728" s="869" t="s">
        <v>2173</v>
      </c>
      <c r="F728" s="879">
        <f>[2]Hoja1!$B$38</f>
        <v>0.26875000000000004</v>
      </c>
      <c r="G728" s="869" t="s">
        <v>262</v>
      </c>
      <c r="H728" s="869" t="s">
        <v>263</v>
      </c>
      <c r="I728" s="869"/>
      <c r="J728" s="869" t="s">
        <v>58</v>
      </c>
      <c r="K728" s="880" t="s">
        <v>2264</v>
      </c>
    </row>
    <row r="729" spans="1:11" s="866" customFormat="1" ht="28.8" x14ac:dyDescent="0.3">
      <c r="A729" s="869" t="s">
        <v>2151</v>
      </c>
      <c r="B729" s="877">
        <f>'[1]PLAN DE DESARROLLO 2024 - 2027'!$M$4</f>
        <v>0.24028917333263158</v>
      </c>
      <c r="C729" s="869" t="s">
        <v>2152</v>
      </c>
      <c r="D729" s="878">
        <f>'[1]PLAN DE DESARROLLO 2024 - 2027'!$M$26</f>
        <v>0.20558940382884341</v>
      </c>
      <c r="E729" s="869" t="s">
        <v>2167</v>
      </c>
      <c r="F729" s="879">
        <f>[2]Hoja1!$B$69</f>
        <v>0.2153430793991416</v>
      </c>
      <c r="G729" s="869" t="s">
        <v>230</v>
      </c>
      <c r="H729" s="869" t="s">
        <v>231</v>
      </c>
      <c r="I729" s="869"/>
      <c r="J729" s="869" t="s">
        <v>58</v>
      </c>
      <c r="K729" s="880" t="s">
        <v>2264</v>
      </c>
    </row>
    <row r="730" spans="1:11" s="866" customFormat="1" ht="28.8" x14ac:dyDescent="0.3">
      <c r="A730" s="869" t="s">
        <v>2151</v>
      </c>
      <c r="B730" s="877">
        <f>'[1]PLAN DE DESARROLLO 2024 - 2027'!$M$4</f>
        <v>0.24028917333263158</v>
      </c>
      <c r="C730" s="869" t="s">
        <v>2152</v>
      </c>
      <c r="D730" s="878">
        <f>'[1]PLAN DE DESARROLLO 2024 - 2027'!$M$26</f>
        <v>0.20558940382884341</v>
      </c>
      <c r="E730" s="869" t="s">
        <v>2167</v>
      </c>
      <c r="F730" s="879">
        <f>[2]Hoja1!$B$69</f>
        <v>0.2153430793991416</v>
      </c>
      <c r="G730" s="869" t="s">
        <v>232</v>
      </c>
      <c r="H730" s="869" t="s">
        <v>233</v>
      </c>
      <c r="I730" s="869"/>
      <c r="J730" s="869" t="s">
        <v>58</v>
      </c>
      <c r="K730" s="880" t="s">
        <v>2264</v>
      </c>
    </row>
    <row r="731" spans="1:11" s="866" customFormat="1" ht="28.8" x14ac:dyDescent="0.3">
      <c r="A731" s="869" t="s">
        <v>2151</v>
      </c>
      <c r="B731" s="877">
        <f>'[1]PLAN DE DESARROLLO 2024 - 2027'!$M$4</f>
        <v>0.24028917333263158</v>
      </c>
      <c r="C731" s="869" t="s">
        <v>2152</v>
      </c>
      <c r="D731" s="878">
        <f>'[1]PLAN DE DESARROLLO 2024 - 2027'!$M$26</f>
        <v>0.20558940382884341</v>
      </c>
      <c r="E731" s="869" t="s">
        <v>2167</v>
      </c>
      <c r="F731" s="879">
        <f>[2]Hoja1!$B$69</f>
        <v>0.2153430793991416</v>
      </c>
      <c r="G731" s="869" t="s">
        <v>234</v>
      </c>
      <c r="H731" s="869" t="s">
        <v>235</v>
      </c>
      <c r="I731" s="869"/>
      <c r="J731" s="869" t="s">
        <v>58</v>
      </c>
      <c r="K731" s="880" t="s">
        <v>2264</v>
      </c>
    </row>
    <row r="732" spans="1:11" s="866" customFormat="1" ht="28.8" x14ac:dyDescent="0.3">
      <c r="A732" s="869" t="s">
        <v>2151</v>
      </c>
      <c r="B732" s="877">
        <f>'[1]PLAN DE DESARROLLO 2024 - 2027'!$M$4</f>
        <v>0.24028917333263158</v>
      </c>
      <c r="C732" s="869" t="s">
        <v>2152</v>
      </c>
      <c r="D732" s="878">
        <f>'[1]PLAN DE DESARROLLO 2024 - 2027'!$M$26</f>
        <v>0.20558940382884341</v>
      </c>
      <c r="E732" s="869" t="s">
        <v>2167</v>
      </c>
      <c r="F732" s="879">
        <f>[2]Hoja1!$B$69</f>
        <v>0.2153430793991416</v>
      </c>
      <c r="G732" s="869" t="s">
        <v>236</v>
      </c>
      <c r="H732" s="869" t="s">
        <v>237</v>
      </c>
      <c r="I732" s="869"/>
      <c r="J732" s="869" t="s">
        <v>58</v>
      </c>
      <c r="K732" s="880" t="s">
        <v>2264</v>
      </c>
    </row>
    <row r="733" spans="1:11" s="866" customFormat="1" ht="28.8" x14ac:dyDescent="0.3">
      <c r="A733" s="869" t="s">
        <v>2151</v>
      </c>
      <c r="B733" s="877">
        <f>'[1]PLAN DE DESARROLLO 2024 - 2027'!$M$4</f>
        <v>0.24028917333263158</v>
      </c>
      <c r="C733" s="869" t="s">
        <v>2152</v>
      </c>
      <c r="D733" s="878">
        <f>'[1]PLAN DE DESARROLLO 2024 - 2027'!$M$26</f>
        <v>0.20558940382884341</v>
      </c>
      <c r="E733" s="869" t="s">
        <v>2167</v>
      </c>
      <c r="F733" s="879">
        <f>[2]Hoja1!$B$69</f>
        <v>0.2153430793991416</v>
      </c>
      <c r="G733" s="869" t="s">
        <v>238</v>
      </c>
      <c r="H733" s="869" t="s">
        <v>239</v>
      </c>
      <c r="I733" s="869"/>
      <c r="J733" s="869" t="s">
        <v>58</v>
      </c>
      <c r="K733" s="880" t="s">
        <v>2264</v>
      </c>
    </row>
    <row r="734" spans="1:11" s="866" customFormat="1" ht="28.8" x14ac:dyDescent="0.3">
      <c r="A734" s="869" t="s">
        <v>2151</v>
      </c>
      <c r="B734" s="877">
        <f>'[1]PLAN DE DESARROLLO 2024 - 2027'!$M$4</f>
        <v>0.24028917333263158</v>
      </c>
      <c r="C734" s="869" t="s">
        <v>2152</v>
      </c>
      <c r="D734" s="878">
        <f>'[1]PLAN DE DESARROLLO 2024 - 2027'!$M$26</f>
        <v>0.20558940382884341</v>
      </c>
      <c r="E734" s="869" t="s">
        <v>2167</v>
      </c>
      <c r="F734" s="879">
        <f>[2]Hoja1!$B$69</f>
        <v>0.2153430793991416</v>
      </c>
      <c r="G734" s="869" t="s">
        <v>240</v>
      </c>
      <c r="H734" s="869" t="s">
        <v>241</v>
      </c>
      <c r="I734" s="869"/>
      <c r="J734" s="869" t="s">
        <v>58</v>
      </c>
      <c r="K734" s="880" t="s">
        <v>2264</v>
      </c>
    </row>
    <row r="735" spans="1:11" s="866" customFormat="1" ht="28.8" x14ac:dyDescent="0.3">
      <c r="A735" s="869" t="s">
        <v>2151</v>
      </c>
      <c r="B735" s="877">
        <f>'[1]PLAN DE DESARROLLO 2024 - 2027'!$M$4</f>
        <v>0.24028917333263158</v>
      </c>
      <c r="C735" s="869" t="s">
        <v>2152</v>
      </c>
      <c r="D735" s="878">
        <f>'[1]PLAN DE DESARROLLO 2024 - 2027'!$M$26</f>
        <v>0.20558940382884341</v>
      </c>
      <c r="E735" s="869" t="s">
        <v>2167</v>
      </c>
      <c r="F735" s="879">
        <f>[2]Hoja1!$B$69</f>
        <v>0.2153430793991416</v>
      </c>
      <c r="G735" s="869" t="s">
        <v>2168</v>
      </c>
      <c r="H735" s="869" t="s">
        <v>2169</v>
      </c>
      <c r="I735" s="869"/>
      <c r="J735" s="869" t="s">
        <v>58</v>
      </c>
      <c r="K735" s="880" t="s">
        <v>2264</v>
      </c>
    </row>
    <row r="736" spans="1:11" s="866" customFormat="1" ht="28.8" x14ac:dyDescent="0.3">
      <c r="A736" s="869" t="s">
        <v>2151</v>
      </c>
      <c r="B736" s="877">
        <f>'[1]PLAN DE DESARROLLO 2024 - 2027'!$M$4</f>
        <v>0.24028917333263158</v>
      </c>
      <c r="C736" s="869" t="s">
        <v>2152</v>
      </c>
      <c r="D736" s="878">
        <f>'[1]PLAN DE DESARROLLO 2024 - 2027'!$M$26</f>
        <v>0.20558940382884341</v>
      </c>
      <c r="E736" s="869" t="s">
        <v>2167</v>
      </c>
      <c r="F736" s="879">
        <f>[2]Hoja1!$B$69</f>
        <v>0.2153430793991416</v>
      </c>
      <c r="G736" s="869" t="s">
        <v>244</v>
      </c>
      <c r="H736" s="869" t="s">
        <v>245</v>
      </c>
      <c r="I736" s="869"/>
      <c r="J736" s="869" t="s">
        <v>58</v>
      </c>
      <c r="K736" s="880" t="s">
        <v>2264</v>
      </c>
    </row>
    <row r="737" spans="1:11" s="866" customFormat="1" ht="28.8" x14ac:dyDescent="0.3">
      <c r="A737" s="869" t="s">
        <v>2151</v>
      </c>
      <c r="B737" s="877">
        <f>'[1]PLAN DE DESARROLLO 2024 - 2027'!$M$4</f>
        <v>0.24028917333263158</v>
      </c>
      <c r="C737" s="869" t="s">
        <v>2152</v>
      </c>
      <c r="D737" s="878">
        <f>'[1]PLAN DE DESARROLLO 2024 - 2027'!$M$26</f>
        <v>0.20558940382884341</v>
      </c>
      <c r="E737" s="869" t="s">
        <v>1617</v>
      </c>
      <c r="F737" s="879">
        <f>[2]Hoja1!$B$146</f>
        <v>0</v>
      </c>
      <c r="G737" s="869" t="s">
        <v>286</v>
      </c>
      <c r="H737" s="869" t="s">
        <v>287</v>
      </c>
      <c r="I737" s="869"/>
      <c r="J737" s="869" t="s">
        <v>58</v>
      </c>
      <c r="K737" s="880" t="s">
        <v>2264</v>
      </c>
    </row>
    <row r="738" spans="1:11" s="866" customFormat="1" ht="43.2" x14ac:dyDescent="0.3">
      <c r="A738" s="869" t="s">
        <v>2151</v>
      </c>
      <c r="B738" s="877">
        <f>'[1]PLAN DE DESARROLLO 2024 - 2027'!$M$4</f>
        <v>0.24028917333263158</v>
      </c>
      <c r="C738" s="869" t="s">
        <v>2152</v>
      </c>
      <c r="D738" s="878">
        <f>'[1]PLAN DE DESARROLLO 2024 - 2027'!$M$26</f>
        <v>0.20558940382884341</v>
      </c>
      <c r="E738" s="869" t="s">
        <v>1617</v>
      </c>
      <c r="F738" s="879">
        <f>[2]Hoja1!$B$146</f>
        <v>0</v>
      </c>
      <c r="G738" s="869" t="s">
        <v>288</v>
      </c>
      <c r="H738" s="869" t="s">
        <v>289</v>
      </c>
      <c r="I738" s="869"/>
      <c r="J738" s="869" t="s">
        <v>58</v>
      </c>
      <c r="K738" s="880" t="s">
        <v>2264</v>
      </c>
    </row>
    <row r="739" spans="1:11" s="866" customFormat="1" ht="28.8" x14ac:dyDescent="0.3">
      <c r="A739" s="869" t="s">
        <v>2151</v>
      </c>
      <c r="B739" s="877">
        <f>'[1]PLAN DE DESARROLLO 2024 - 2027'!$M$4</f>
        <v>0.24028917333263158</v>
      </c>
      <c r="C739" s="869" t="s">
        <v>2152</v>
      </c>
      <c r="D739" s="878">
        <f>'[1]PLAN DE DESARROLLO 2024 - 2027'!$M$26</f>
        <v>0.20558940382884341</v>
      </c>
      <c r="E739" s="869" t="s">
        <v>1617</v>
      </c>
      <c r="F739" s="879">
        <f>[2]Hoja1!$B$146</f>
        <v>0</v>
      </c>
      <c r="G739" s="869" t="s">
        <v>290</v>
      </c>
      <c r="H739" s="869" t="s">
        <v>291</v>
      </c>
      <c r="I739" s="869"/>
      <c r="J739" s="869" t="s">
        <v>58</v>
      </c>
      <c r="K739" s="880" t="s">
        <v>2264</v>
      </c>
    </row>
    <row r="740" spans="1:11" s="866" customFormat="1" ht="28.8" x14ac:dyDescent="0.3">
      <c r="A740" s="869" t="s">
        <v>2151</v>
      </c>
      <c r="B740" s="877">
        <f>'[1]PLAN DE DESARROLLO 2024 - 2027'!$M$4</f>
        <v>0.24028917333263158</v>
      </c>
      <c r="C740" s="869" t="s">
        <v>2152</v>
      </c>
      <c r="D740" s="878">
        <f>'[1]PLAN DE DESARROLLO 2024 - 2027'!$M$26</f>
        <v>0.20558940382884341</v>
      </c>
      <c r="E740" s="869" t="s">
        <v>1617</v>
      </c>
      <c r="F740" s="879">
        <f>[2]Hoja1!$B$146</f>
        <v>0</v>
      </c>
      <c r="G740" s="869" t="s">
        <v>292</v>
      </c>
      <c r="H740" s="869" t="s">
        <v>293</v>
      </c>
      <c r="I740" s="869"/>
      <c r="J740" s="869" t="s">
        <v>58</v>
      </c>
      <c r="K740" s="880" t="s">
        <v>2264</v>
      </c>
    </row>
    <row r="741" spans="1:11" s="866" customFormat="1" ht="28.8" x14ac:dyDescent="0.3">
      <c r="A741" s="869" t="s">
        <v>2151</v>
      </c>
      <c r="B741" s="877">
        <f>'[1]PLAN DE DESARROLLO 2024 - 2027'!$M$4</f>
        <v>0.24028917333263158</v>
      </c>
      <c r="C741" s="869" t="s">
        <v>2152</v>
      </c>
      <c r="D741" s="878">
        <f>'[1]PLAN DE DESARROLLO 2024 - 2027'!$M$26</f>
        <v>0.20558940382884341</v>
      </c>
      <c r="E741" s="869" t="s">
        <v>2172</v>
      </c>
      <c r="F741" s="879">
        <f>[2]Hoja1!$B$158</f>
        <v>0.19800000000000001</v>
      </c>
      <c r="G741" s="869" t="s">
        <v>250</v>
      </c>
      <c r="H741" s="869" t="s">
        <v>251</v>
      </c>
      <c r="I741" s="869"/>
      <c r="J741" s="869" t="s">
        <v>58</v>
      </c>
      <c r="K741" s="880" t="s">
        <v>2264</v>
      </c>
    </row>
    <row r="742" spans="1:11" s="866" customFormat="1" ht="28.8" x14ac:dyDescent="0.3">
      <c r="A742" s="869" t="s">
        <v>2151</v>
      </c>
      <c r="B742" s="877">
        <f>'[1]PLAN DE DESARROLLO 2024 - 2027'!$M$4</f>
        <v>0.24028917333263158</v>
      </c>
      <c r="C742" s="869" t="s">
        <v>2152</v>
      </c>
      <c r="D742" s="878">
        <f>'[1]PLAN DE DESARROLLO 2024 - 2027'!$M$26</f>
        <v>0.20558940382884341</v>
      </c>
      <c r="E742" s="869" t="s">
        <v>2172</v>
      </c>
      <c r="F742" s="879">
        <f>[2]Hoja1!$B$158</f>
        <v>0.19800000000000001</v>
      </c>
      <c r="G742" s="869" t="s">
        <v>252</v>
      </c>
      <c r="H742" s="869" t="s">
        <v>253</v>
      </c>
      <c r="I742" s="869"/>
      <c r="J742" s="869" t="s">
        <v>58</v>
      </c>
      <c r="K742" s="880" t="s">
        <v>2264</v>
      </c>
    </row>
    <row r="743" spans="1:11" s="866" customFormat="1" ht="28.8" x14ac:dyDescent="0.3">
      <c r="A743" s="869" t="s">
        <v>2151</v>
      </c>
      <c r="B743" s="877">
        <f>'[1]PLAN DE DESARROLLO 2024 - 2027'!$M$4</f>
        <v>0.24028917333263158</v>
      </c>
      <c r="C743" s="869" t="s">
        <v>2152</v>
      </c>
      <c r="D743" s="878">
        <f>'[1]PLAN DE DESARROLLO 2024 - 2027'!$M$26</f>
        <v>0.20558940382884341</v>
      </c>
      <c r="E743" s="869" t="s">
        <v>2172</v>
      </c>
      <c r="F743" s="879">
        <f>[2]Hoja1!$B$158</f>
        <v>0.19800000000000001</v>
      </c>
      <c r="G743" s="869" t="s">
        <v>254</v>
      </c>
      <c r="H743" s="869" t="s">
        <v>255</v>
      </c>
      <c r="I743" s="869"/>
      <c r="J743" s="869" t="s">
        <v>58</v>
      </c>
      <c r="K743" s="880" t="s">
        <v>2264</v>
      </c>
    </row>
    <row r="744" spans="1:11" s="866" customFormat="1" ht="28.8" x14ac:dyDescent="0.3">
      <c r="A744" s="869" t="s">
        <v>2151</v>
      </c>
      <c r="B744" s="877">
        <f>'[1]PLAN DE DESARROLLO 2024 - 2027'!$M$4</f>
        <v>0.24028917333263158</v>
      </c>
      <c r="C744" s="869" t="s">
        <v>2152</v>
      </c>
      <c r="D744" s="878">
        <f>'[1]PLAN DE DESARROLLO 2024 - 2027'!$M$26</f>
        <v>0.20558940382884341</v>
      </c>
      <c r="E744" s="869" t="s">
        <v>2172</v>
      </c>
      <c r="F744" s="879">
        <f>[2]Hoja1!$B$158</f>
        <v>0.19800000000000001</v>
      </c>
      <c r="G744" s="869" t="s">
        <v>1561</v>
      </c>
      <c r="H744" s="869" t="s">
        <v>1562</v>
      </c>
      <c r="I744" s="869"/>
      <c r="J744" s="869" t="s">
        <v>58</v>
      </c>
      <c r="K744" s="880" t="s">
        <v>2264</v>
      </c>
    </row>
    <row r="745" spans="1:11" s="866" customFormat="1" ht="43.2" x14ac:dyDescent="0.3">
      <c r="A745" s="869" t="s">
        <v>2001</v>
      </c>
      <c r="B745" s="881">
        <f>'[1]PLAN DE DESARROLLO 2024 - 2027'!$M$198</f>
        <v>3.4556250000000004E-2</v>
      </c>
      <c r="C745" s="869" t="s">
        <v>2005</v>
      </c>
      <c r="D745" s="883">
        <f>'[1]PLAN DE DESARROLLO 2024 - 2027'!$M$203</f>
        <v>3.0624999999999999E-2</v>
      </c>
      <c r="E745" s="869" t="s">
        <v>1840</v>
      </c>
      <c r="F745" s="879">
        <f>[2]Hoja1!$B$10</f>
        <v>0</v>
      </c>
      <c r="G745" s="869" t="s">
        <v>1130</v>
      </c>
      <c r="H745" s="869" t="s">
        <v>1131</v>
      </c>
      <c r="I745" s="869"/>
      <c r="J745" s="869" t="s">
        <v>162</v>
      </c>
      <c r="K745" s="880" t="s">
        <v>2264</v>
      </c>
    </row>
    <row r="746" spans="1:11" s="866" customFormat="1" ht="28.8" x14ac:dyDescent="0.3">
      <c r="A746" s="869" t="s">
        <v>2001</v>
      </c>
      <c r="B746" s="881">
        <f>'[1]PLAN DE DESARROLLO 2024 - 2027'!$M$198</f>
        <v>3.4556250000000004E-2</v>
      </c>
      <c r="C746" s="869" t="s">
        <v>2005</v>
      </c>
      <c r="D746" s="883">
        <f>'[1]PLAN DE DESARROLLO 2024 - 2027'!$M$203</f>
        <v>3.0624999999999999E-2</v>
      </c>
      <c r="E746" s="869" t="s">
        <v>1840</v>
      </c>
      <c r="F746" s="879">
        <f>[2]Hoja1!$B$10</f>
        <v>0</v>
      </c>
      <c r="G746" s="869" t="s">
        <v>1132</v>
      </c>
      <c r="H746" s="869" t="s">
        <v>1133</v>
      </c>
      <c r="I746" s="869"/>
      <c r="J746" s="869" t="s">
        <v>162</v>
      </c>
      <c r="K746" s="880" t="s">
        <v>2264</v>
      </c>
    </row>
    <row r="747" spans="1:11" s="866" customFormat="1" ht="28.8" x14ac:dyDescent="0.3">
      <c r="A747" s="869" t="s">
        <v>2001</v>
      </c>
      <c r="B747" s="881">
        <f>'[1]PLAN DE DESARROLLO 2024 - 2027'!$M$198</f>
        <v>3.4556250000000004E-2</v>
      </c>
      <c r="C747" s="869" t="s">
        <v>2005</v>
      </c>
      <c r="D747" s="883">
        <f>'[1]PLAN DE DESARROLLO 2024 - 2027'!$M$203</f>
        <v>3.0624999999999999E-2</v>
      </c>
      <c r="E747" s="869" t="s">
        <v>1840</v>
      </c>
      <c r="F747" s="879">
        <f>[2]Hoja1!$B$10</f>
        <v>0</v>
      </c>
      <c r="G747" s="869" t="s">
        <v>1134</v>
      </c>
      <c r="H747" s="869" t="s">
        <v>1135</v>
      </c>
      <c r="I747" s="869"/>
      <c r="J747" s="869" t="s">
        <v>58</v>
      </c>
      <c r="K747" s="880" t="s">
        <v>2264</v>
      </c>
    </row>
    <row r="748" spans="1:11" s="866" customFormat="1" ht="43.2" x14ac:dyDescent="0.3">
      <c r="A748" s="869" t="s">
        <v>2001</v>
      </c>
      <c r="B748" s="881">
        <f>'[1]PLAN DE DESARROLLO 2024 - 2027'!$M$198</f>
        <v>3.4556250000000004E-2</v>
      </c>
      <c r="C748" s="869" t="s">
        <v>2005</v>
      </c>
      <c r="D748" s="883">
        <f>'[1]PLAN DE DESARROLLO 2024 - 2027'!$M$203</f>
        <v>3.0624999999999999E-2</v>
      </c>
      <c r="E748" s="869" t="s">
        <v>1840</v>
      </c>
      <c r="F748" s="879">
        <f>[2]Hoja1!$B$10</f>
        <v>0</v>
      </c>
      <c r="G748" s="869" t="s">
        <v>1136</v>
      </c>
      <c r="H748" s="869" t="s">
        <v>1137</v>
      </c>
      <c r="I748" s="869"/>
      <c r="J748" s="869" t="s">
        <v>620</v>
      </c>
      <c r="K748" s="880" t="s">
        <v>2264</v>
      </c>
    </row>
    <row r="749" spans="1:11" s="866" customFormat="1" ht="57.6" x14ac:dyDescent="0.3">
      <c r="A749" s="869" t="s">
        <v>2001</v>
      </c>
      <c r="B749" s="881">
        <f>'[1]PLAN DE DESARROLLO 2024 - 2027'!$M$198</f>
        <v>3.4556250000000004E-2</v>
      </c>
      <c r="C749" s="869" t="s">
        <v>2005</v>
      </c>
      <c r="D749" s="883">
        <f>'[1]PLAN DE DESARROLLO 2024 - 2027'!$M$203</f>
        <v>3.0624999999999999E-2</v>
      </c>
      <c r="E749" s="869" t="s">
        <v>1840</v>
      </c>
      <c r="F749" s="879">
        <f>[2]Hoja1!$B$10</f>
        <v>0</v>
      </c>
      <c r="G749" s="869" t="s">
        <v>1138</v>
      </c>
      <c r="H749" s="869" t="s">
        <v>1139</v>
      </c>
      <c r="I749" s="869"/>
      <c r="J749" s="869" t="s">
        <v>565</v>
      </c>
      <c r="K749" s="880" t="s">
        <v>2264</v>
      </c>
    </row>
    <row r="750" spans="1:11" s="866" customFormat="1" ht="28.8" x14ac:dyDescent="0.3">
      <c r="A750" s="869" t="s">
        <v>2001</v>
      </c>
      <c r="B750" s="881">
        <f>'[1]PLAN DE DESARROLLO 2024 - 2027'!$M$198</f>
        <v>3.4556250000000004E-2</v>
      </c>
      <c r="C750" s="869" t="s">
        <v>2005</v>
      </c>
      <c r="D750" s="883">
        <f>'[1]PLAN DE DESARROLLO 2024 - 2027'!$M$203</f>
        <v>3.0624999999999999E-2</v>
      </c>
      <c r="E750" s="869" t="s">
        <v>1840</v>
      </c>
      <c r="F750" s="879">
        <f>[2]Hoja1!$B$10</f>
        <v>0</v>
      </c>
      <c r="G750" s="869" t="s">
        <v>1140</v>
      </c>
      <c r="H750" s="869" t="s">
        <v>1141</v>
      </c>
      <c r="I750" s="869"/>
      <c r="J750" s="869" t="s">
        <v>707</v>
      </c>
      <c r="K750" s="880" t="s">
        <v>2264</v>
      </c>
    </row>
    <row r="751" spans="1:11" s="866" customFormat="1" ht="28.8" x14ac:dyDescent="0.3">
      <c r="A751" s="869" t="s">
        <v>2205</v>
      </c>
      <c r="B751" s="877">
        <f>'[1]PLAN DE DESARROLLO 2024 - 2027'!$M$46</f>
        <v>0.25251661967012345</v>
      </c>
      <c r="C751" s="869" t="s">
        <v>2237</v>
      </c>
      <c r="D751" s="878">
        <f>'[1]PLAN DE DESARROLLO 2024 - 2027'!$M$64</f>
        <v>0.21558039327044773</v>
      </c>
      <c r="E751" s="869" t="s">
        <v>1657</v>
      </c>
      <c r="F751" s="879">
        <f>[2]Hoja1!$B$15</f>
        <v>0.10614285714285715</v>
      </c>
      <c r="G751" s="869" t="s">
        <v>517</v>
      </c>
      <c r="H751" s="869" t="s">
        <v>518</v>
      </c>
      <c r="I751" s="869"/>
      <c r="J751" s="869" t="s">
        <v>2238</v>
      </c>
      <c r="K751" s="880" t="s">
        <v>2264</v>
      </c>
    </row>
    <row r="752" spans="1:11" s="866" customFormat="1" ht="28.8" x14ac:dyDescent="0.3">
      <c r="A752" s="869" t="s">
        <v>2205</v>
      </c>
      <c r="B752" s="877">
        <f>'[1]PLAN DE DESARROLLO 2024 - 2027'!$M$46</f>
        <v>0.25251661967012345</v>
      </c>
      <c r="C752" s="869" t="s">
        <v>2237</v>
      </c>
      <c r="D752" s="878">
        <f>'[1]PLAN DE DESARROLLO 2024 - 2027'!$M$64</f>
        <v>0.21558039327044773</v>
      </c>
      <c r="E752" s="869" t="s">
        <v>1657</v>
      </c>
      <c r="F752" s="879">
        <f>[2]Hoja1!$B$15</f>
        <v>0.10614285714285715</v>
      </c>
      <c r="G752" s="869" t="s">
        <v>519</v>
      </c>
      <c r="H752" s="869" t="s">
        <v>520</v>
      </c>
      <c r="I752" s="869"/>
      <c r="J752" s="869" t="s">
        <v>2238</v>
      </c>
      <c r="K752" s="880" t="s">
        <v>2264</v>
      </c>
    </row>
    <row r="753" spans="1:11" s="866" customFormat="1" ht="28.8" x14ac:dyDescent="0.3">
      <c r="A753" s="869" t="s">
        <v>2076</v>
      </c>
      <c r="B753" s="881">
        <f>'[1]PLAN DE DESARROLLO 2024 - 2027'!$M$92</f>
        <v>0.25050860314981654</v>
      </c>
      <c r="C753" s="869" t="s">
        <v>2084</v>
      </c>
      <c r="D753" s="878">
        <f>'[1]PLAN DE DESARROLLO 2024 - 2027'!$M$93</f>
        <v>0.32850000000000001</v>
      </c>
      <c r="E753" s="869" t="s">
        <v>2087</v>
      </c>
      <c r="F753" s="879">
        <f>[2]Hoja1!$B$30</f>
        <v>0.24750000000000003</v>
      </c>
      <c r="G753" s="869" t="s">
        <v>687</v>
      </c>
      <c r="H753" s="869" t="s">
        <v>1395</v>
      </c>
      <c r="I753" s="869"/>
      <c r="J753" s="869" t="s">
        <v>683</v>
      </c>
      <c r="K753" s="880" t="s">
        <v>2264</v>
      </c>
    </row>
    <row r="754" spans="1:11" s="866" customFormat="1" x14ac:dyDescent="0.3">
      <c r="A754" s="869" t="s">
        <v>2076</v>
      </c>
      <c r="B754" s="881">
        <f>'[1]PLAN DE DESARROLLO 2024 - 2027'!$M$92</f>
        <v>0.25050860314981654</v>
      </c>
      <c r="C754" s="869" t="s">
        <v>2084</v>
      </c>
      <c r="D754" s="878">
        <f>'[1]PLAN DE DESARROLLO 2024 - 2027'!$M$93</f>
        <v>0.32850000000000001</v>
      </c>
      <c r="E754" s="869" t="s">
        <v>2087</v>
      </c>
      <c r="F754" s="879">
        <f>[2]Hoja1!$B$30</f>
        <v>0.24750000000000003</v>
      </c>
      <c r="G754" s="869" t="s">
        <v>688</v>
      </c>
      <c r="H754" s="869" t="s">
        <v>1396</v>
      </c>
      <c r="I754" s="869"/>
      <c r="J754" s="869" t="s">
        <v>683</v>
      </c>
      <c r="K754" s="880" t="s">
        <v>2264</v>
      </c>
    </row>
    <row r="755" spans="1:11" s="866" customFormat="1" ht="28.8" x14ac:dyDescent="0.3">
      <c r="A755" s="869" t="s">
        <v>2076</v>
      </c>
      <c r="B755" s="881">
        <f>'[1]PLAN DE DESARROLLO 2024 - 2027'!$M$92</f>
        <v>0.25050860314981654</v>
      </c>
      <c r="C755" s="869" t="s">
        <v>2084</v>
      </c>
      <c r="D755" s="878">
        <f>'[1]PLAN DE DESARROLLO 2024 - 2027'!$M$93</f>
        <v>0.32850000000000001</v>
      </c>
      <c r="E755" s="869" t="s">
        <v>2087</v>
      </c>
      <c r="F755" s="879">
        <f>[2]Hoja1!$B$30</f>
        <v>0.24750000000000003</v>
      </c>
      <c r="G755" s="869" t="s">
        <v>689</v>
      </c>
      <c r="H755" s="869" t="s">
        <v>1397</v>
      </c>
      <c r="I755" s="869"/>
      <c r="J755" s="869" t="s">
        <v>683</v>
      </c>
      <c r="K755" s="880" t="s">
        <v>2264</v>
      </c>
    </row>
    <row r="756" spans="1:11" s="866" customFormat="1" x14ac:dyDescent="0.3">
      <c r="A756" s="869" t="s">
        <v>2076</v>
      </c>
      <c r="B756" s="881">
        <f>'[1]PLAN DE DESARROLLO 2024 - 2027'!$M$92</f>
        <v>0.25050860314981654</v>
      </c>
      <c r="C756" s="869" t="s">
        <v>2084</v>
      </c>
      <c r="D756" s="878">
        <f>'[1]PLAN DE DESARROLLO 2024 - 2027'!$M$93</f>
        <v>0.32850000000000001</v>
      </c>
      <c r="E756" s="869" t="s">
        <v>2085</v>
      </c>
      <c r="F756" s="879">
        <f>[2]Hoja1!$B$162</f>
        <v>0.45</v>
      </c>
      <c r="G756" s="869" t="s">
        <v>681</v>
      </c>
      <c r="H756" s="869" t="s">
        <v>1390</v>
      </c>
      <c r="I756" s="869"/>
      <c r="J756" s="869" t="s">
        <v>683</v>
      </c>
      <c r="K756" s="880" t="s">
        <v>2264</v>
      </c>
    </row>
    <row r="757" spans="1:11" s="866" customFormat="1" ht="28.8" x14ac:dyDescent="0.3">
      <c r="A757" s="869" t="s">
        <v>2076</v>
      </c>
      <c r="B757" s="881">
        <f>'[1]PLAN DE DESARROLLO 2024 - 2027'!$M$92</f>
        <v>0.25050860314981654</v>
      </c>
      <c r="C757" s="869" t="s">
        <v>2084</v>
      </c>
      <c r="D757" s="878">
        <f>'[1]PLAN DE DESARROLLO 2024 - 2027'!$M$93</f>
        <v>0.32850000000000001</v>
      </c>
      <c r="E757" s="869" t="s">
        <v>2085</v>
      </c>
      <c r="F757" s="879">
        <f>[2]Hoja1!$B$162</f>
        <v>0.45</v>
      </c>
      <c r="G757" s="869" t="s">
        <v>682</v>
      </c>
      <c r="H757" s="869" t="s">
        <v>1391</v>
      </c>
      <c r="I757" s="869"/>
      <c r="J757" s="869" t="s">
        <v>683</v>
      </c>
      <c r="K757" s="880" t="s">
        <v>2264</v>
      </c>
    </row>
    <row r="758" spans="1:11" s="866" customFormat="1" ht="57.6" x14ac:dyDescent="0.3">
      <c r="A758" s="869" t="s">
        <v>2076</v>
      </c>
      <c r="B758" s="881">
        <f>'[1]PLAN DE DESARROLLO 2024 - 2027'!$M$92</f>
        <v>0.25050860314981654</v>
      </c>
      <c r="C758" s="869" t="s">
        <v>2084</v>
      </c>
      <c r="D758" s="878">
        <f>'[1]PLAN DE DESARROLLO 2024 - 2027'!$M$93</f>
        <v>0.32850000000000001</v>
      </c>
      <c r="E758" s="869" t="s">
        <v>2085</v>
      </c>
      <c r="F758" s="879">
        <f>[2]Hoja1!$B$162</f>
        <v>0.45</v>
      </c>
      <c r="G758" s="869" t="s">
        <v>684</v>
      </c>
      <c r="H758" s="869" t="s">
        <v>1392</v>
      </c>
      <c r="I758" s="869"/>
      <c r="J758" s="869" t="s">
        <v>683</v>
      </c>
      <c r="K758" s="880" t="s">
        <v>2264</v>
      </c>
    </row>
    <row r="759" spans="1:11" s="866" customFormat="1" ht="43.2" x14ac:dyDescent="0.3">
      <c r="A759" s="869" t="s">
        <v>2076</v>
      </c>
      <c r="B759" s="881">
        <f>'[1]PLAN DE DESARROLLO 2024 - 2027'!$M$92</f>
        <v>0.25050860314981654</v>
      </c>
      <c r="C759" s="869" t="s">
        <v>2084</v>
      </c>
      <c r="D759" s="878">
        <f>'[1]PLAN DE DESARROLLO 2024 - 2027'!$M$93</f>
        <v>0.32850000000000001</v>
      </c>
      <c r="E759" s="869" t="s">
        <v>2085</v>
      </c>
      <c r="F759" s="879">
        <f>[2]Hoja1!$B$162</f>
        <v>0.45</v>
      </c>
      <c r="G759" s="869" t="s">
        <v>685</v>
      </c>
      <c r="H759" s="869" t="s">
        <v>2086</v>
      </c>
      <c r="I759" s="869"/>
      <c r="J759" s="869" t="s">
        <v>683</v>
      </c>
      <c r="K759" s="880" t="s">
        <v>2264</v>
      </c>
    </row>
    <row r="760" spans="1:11" s="866" customFormat="1" ht="28.8" x14ac:dyDescent="0.3">
      <c r="A760" s="869" t="s">
        <v>2205</v>
      </c>
      <c r="B760" s="877">
        <f>'[1]PLAN DE DESARROLLO 2024 - 2027'!$M$46</f>
        <v>0.25251661967012345</v>
      </c>
      <c r="C760" s="869" t="s">
        <v>2237</v>
      </c>
      <c r="D760" s="878">
        <f>'[1]PLAN DE DESARROLLO 2024 - 2027'!$M$64</f>
        <v>0.21558039327044773</v>
      </c>
      <c r="E760" s="869" t="s">
        <v>1657</v>
      </c>
      <c r="F760" s="879">
        <f>[2]Hoja1!$B$15</f>
        <v>0.10614285714285715</v>
      </c>
      <c r="G760" s="869" t="s">
        <v>521</v>
      </c>
      <c r="H760" s="869" t="s">
        <v>522</v>
      </c>
      <c r="I760" s="869"/>
      <c r="J760" s="869" t="s">
        <v>516</v>
      </c>
      <c r="K760" s="880" t="s">
        <v>2264</v>
      </c>
    </row>
    <row r="761" spans="1:11" s="866" customFormat="1" ht="28.8" x14ac:dyDescent="0.3">
      <c r="A761" s="869" t="s">
        <v>2205</v>
      </c>
      <c r="B761" s="877">
        <f>'[1]PLAN DE DESARROLLO 2024 - 2027'!$M$46</f>
        <v>0.25251661967012345</v>
      </c>
      <c r="C761" s="869" t="s">
        <v>2237</v>
      </c>
      <c r="D761" s="878">
        <f>'[1]PLAN DE DESARROLLO 2024 - 2027'!$M$64</f>
        <v>0.21558039327044773</v>
      </c>
      <c r="E761" s="869" t="s">
        <v>1657</v>
      </c>
      <c r="F761" s="879">
        <f>[2]Hoja1!$B$15</f>
        <v>0.10614285714285715</v>
      </c>
      <c r="G761" s="869" t="s">
        <v>523</v>
      </c>
      <c r="H761" s="869" t="s">
        <v>524</v>
      </c>
      <c r="I761" s="869"/>
      <c r="J761" s="869" t="s">
        <v>516</v>
      </c>
      <c r="K761" s="880" t="s">
        <v>2264</v>
      </c>
    </row>
    <row r="762" spans="1:11" s="866" customFormat="1" ht="28.8" x14ac:dyDescent="0.3">
      <c r="A762" s="869" t="s">
        <v>2205</v>
      </c>
      <c r="B762" s="877">
        <f>'[1]PLAN DE DESARROLLO 2024 - 2027'!$M$46</f>
        <v>0.25251661967012345</v>
      </c>
      <c r="C762" s="869" t="s">
        <v>2237</v>
      </c>
      <c r="D762" s="878">
        <f>'[1]PLAN DE DESARROLLO 2024 - 2027'!$M$64</f>
        <v>0.21558039327044773</v>
      </c>
      <c r="E762" s="869" t="s">
        <v>1658</v>
      </c>
      <c r="F762" s="879">
        <f>[2]Hoja1!$B$161</f>
        <v>0.13333333333333333</v>
      </c>
      <c r="G762" s="869" t="s">
        <v>525</v>
      </c>
      <c r="H762" s="869" t="s">
        <v>526</v>
      </c>
      <c r="I762" s="869"/>
      <c r="J762" s="869" t="s">
        <v>516</v>
      </c>
      <c r="K762" s="880" t="s">
        <v>2264</v>
      </c>
    </row>
    <row r="763" spans="1:11" s="866" customFormat="1" ht="43.2" x14ac:dyDescent="0.3">
      <c r="A763" s="869" t="s">
        <v>2205</v>
      </c>
      <c r="B763" s="877">
        <f>'[1]PLAN DE DESARROLLO 2024 - 2027'!$M$46</f>
        <v>0.25251661967012345</v>
      </c>
      <c r="C763" s="869" t="s">
        <v>2237</v>
      </c>
      <c r="D763" s="878">
        <f>'[1]PLAN DE DESARROLLO 2024 - 2027'!$M$64</f>
        <v>0.21558039327044773</v>
      </c>
      <c r="E763" s="869" t="s">
        <v>1658</v>
      </c>
      <c r="F763" s="879">
        <f>[2]Hoja1!$B$161</f>
        <v>0.13333333333333333</v>
      </c>
      <c r="G763" s="869" t="s">
        <v>527</v>
      </c>
      <c r="H763" s="869" t="s">
        <v>528</v>
      </c>
      <c r="I763" s="869"/>
      <c r="J763" s="869" t="s">
        <v>516</v>
      </c>
      <c r="K763" s="880" t="s">
        <v>2264</v>
      </c>
    </row>
    <row r="764" spans="1:11" s="866" customFormat="1" x14ac:dyDescent="0.3">
      <c r="A764" s="869" t="s">
        <v>2076</v>
      </c>
      <c r="B764" s="881">
        <f>'[1]PLAN DE DESARROLLO 2024 - 2027'!$M$92</f>
        <v>0.25050860314981654</v>
      </c>
      <c r="C764" s="869" t="s">
        <v>2084</v>
      </c>
      <c r="D764" s="878">
        <f>'[1]PLAN DE DESARROLLO 2024 - 2027'!$M$93</f>
        <v>0.32850000000000001</v>
      </c>
      <c r="E764" s="869" t="s">
        <v>2085</v>
      </c>
      <c r="F764" s="879">
        <f>[2]Hoja1!$B$162</f>
        <v>0.45</v>
      </c>
      <c r="G764" s="869" t="s">
        <v>686</v>
      </c>
      <c r="H764" s="869" t="s">
        <v>1394</v>
      </c>
      <c r="I764" s="869"/>
      <c r="J764" s="869" t="s">
        <v>683</v>
      </c>
      <c r="K764" s="880" t="s">
        <v>2264</v>
      </c>
    </row>
    <row r="765" spans="1:11" s="866" customFormat="1" x14ac:dyDescent="0.3">
      <c r="A765" s="869" t="s">
        <v>2076</v>
      </c>
      <c r="B765" s="881">
        <f>'[1]PLAN DE DESARROLLO 2024 - 2027'!$M$92</f>
        <v>0.25050860314981654</v>
      </c>
      <c r="C765" s="869" t="s">
        <v>2105</v>
      </c>
      <c r="D765" s="878">
        <f>'[1]PLAN DE DESARROLLO 2024 - 2027'!$M$116</f>
        <v>0.21525263088160634</v>
      </c>
      <c r="E765" s="869" t="s">
        <v>2110</v>
      </c>
      <c r="F765" s="879">
        <f>[2]Hoja1!$B$25</f>
        <v>0.33749999999999997</v>
      </c>
      <c r="G765" s="869" t="s">
        <v>784</v>
      </c>
      <c r="H765" s="869" t="s">
        <v>1477</v>
      </c>
      <c r="I765" s="869"/>
      <c r="J765" s="869" t="s">
        <v>767</v>
      </c>
      <c r="K765" s="880" t="s">
        <v>2264</v>
      </c>
    </row>
    <row r="766" spans="1:11" s="866" customFormat="1" ht="28.8" x14ac:dyDescent="0.3">
      <c r="A766" s="869" t="s">
        <v>2076</v>
      </c>
      <c r="B766" s="881">
        <f>'[1]PLAN DE DESARROLLO 2024 - 2027'!$M$92</f>
        <v>0.25050860314981654</v>
      </c>
      <c r="C766" s="869" t="s">
        <v>2105</v>
      </c>
      <c r="D766" s="878">
        <f>'[1]PLAN DE DESARROLLO 2024 - 2027'!$M$116</f>
        <v>0.21525263088160634</v>
      </c>
      <c r="E766" s="869" t="s">
        <v>2110</v>
      </c>
      <c r="F766" s="879">
        <f>[2]Hoja1!$B$25</f>
        <v>0.33749999999999997</v>
      </c>
      <c r="G766" s="869" t="s">
        <v>785</v>
      </c>
      <c r="H766" s="869" t="s">
        <v>1478</v>
      </c>
      <c r="I766" s="869"/>
      <c r="J766" s="869" t="s">
        <v>767</v>
      </c>
      <c r="K766" s="880" t="s">
        <v>2264</v>
      </c>
    </row>
    <row r="767" spans="1:11" s="866" customFormat="1" x14ac:dyDescent="0.3">
      <c r="A767" s="869" t="s">
        <v>2076</v>
      </c>
      <c r="B767" s="881">
        <f>'[1]PLAN DE DESARROLLO 2024 - 2027'!$M$92</f>
        <v>0.25050860314981654</v>
      </c>
      <c r="C767" s="869" t="s">
        <v>2105</v>
      </c>
      <c r="D767" s="878">
        <f>'[1]PLAN DE DESARROLLO 2024 - 2027'!$M$116</f>
        <v>0.21525263088160634</v>
      </c>
      <c r="E767" s="869" t="s">
        <v>2110</v>
      </c>
      <c r="F767" s="879">
        <f>[2]Hoja1!$B$25</f>
        <v>0.33749999999999997</v>
      </c>
      <c r="G767" s="869" t="s">
        <v>786</v>
      </c>
      <c r="H767" s="869" t="s">
        <v>1479</v>
      </c>
      <c r="I767" s="869"/>
      <c r="J767" s="869" t="s">
        <v>767</v>
      </c>
      <c r="K767" s="880" t="s">
        <v>2264</v>
      </c>
    </row>
    <row r="768" spans="1:11" s="866" customFormat="1" ht="28.8" x14ac:dyDescent="0.3">
      <c r="A768" s="869" t="s">
        <v>2205</v>
      </c>
      <c r="B768" s="877">
        <f>'[1]PLAN DE DESARROLLO 2024 - 2027'!$M$46</f>
        <v>0.25251661967012345</v>
      </c>
      <c r="C768" s="869" t="s">
        <v>2237</v>
      </c>
      <c r="D768" s="878">
        <f>'[1]PLAN DE DESARROLLO 2024 - 2027'!$M$64</f>
        <v>0.21558039327044773</v>
      </c>
      <c r="E768" s="869" t="s">
        <v>1658</v>
      </c>
      <c r="F768" s="879">
        <f>[2]Hoja1!$B$161</f>
        <v>0.13333333333333333</v>
      </c>
      <c r="G768" s="869" t="s">
        <v>529</v>
      </c>
      <c r="H768" s="869" t="s">
        <v>530</v>
      </c>
      <c r="I768" s="869"/>
      <c r="J768" s="869" t="s">
        <v>516</v>
      </c>
      <c r="K768" s="880" t="s">
        <v>2264</v>
      </c>
    </row>
    <row r="769" spans="1:11" s="866" customFormat="1" ht="28.8" x14ac:dyDescent="0.3">
      <c r="A769" s="869" t="s">
        <v>2205</v>
      </c>
      <c r="B769" s="877">
        <f>'[1]PLAN DE DESARROLLO 2024 - 2027'!$M$46</f>
        <v>0.25251661967012345</v>
      </c>
      <c r="C769" s="869" t="s">
        <v>2237</v>
      </c>
      <c r="D769" s="878">
        <f>'[1]PLAN DE DESARROLLO 2024 - 2027'!$M$64</f>
        <v>0.21558039327044773</v>
      </c>
      <c r="E769" s="869" t="s">
        <v>1658</v>
      </c>
      <c r="F769" s="879">
        <f>[2]Hoja1!$B$161</f>
        <v>0.13333333333333333</v>
      </c>
      <c r="G769" s="869" t="s">
        <v>531</v>
      </c>
      <c r="H769" s="869" t="s">
        <v>532</v>
      </c>
      <c r="I769" s="869"/>
      <c r="J769" s="869" t="s">
        <v>516</v>
      </c>
      <c r="K769" s="880" t="s">
        <v>2264</v>
      </c>
    </row>
    <row r="770" spans="1:11" s="866" customFormat="1" ht="28.8" x14ac:dyDescent="0.3">
      <c r="A770" s="869" t="s">
        <v>2205</v>
      </c>
      <c r="B770" s="877">
        <f>'[1]PLAN DE DESARROLLO 2024 - 2027'!$M$46</f>
        <v>0.25251661967012345</v>
      </c>
      <c r="C770" s="869" t="s">
        <v>2237</v>
      </c>
      <c r="D770" s="878">
        <f>'[1]PLAN DE DESARROLLO 2024 - 2027'!$M$64</f>
        <v>0.21558039327044773</v>
      </c>
      <c r="E770" s="869" t="s">
        <v>1658</v>
      </c>
      <c r="F770" s="879">
        <f>[2]Hoja1!$B$161</f>
        <v>0.13333333333333333</v>
      </c>
      <c r="G770" s="869" t="s">
        <v>533</v>
      </c>
      <c r="H770" s="869" t="s">
        <v>534</v>
      </c>
      <c r="I770" s="869"/>
      <c r="J770" s="869" t="s">
        <v>516</v>
      </c>
      <c r="K770" s="880" t="s">
        <v>2264</v>
      </c>
    </row>
    <row r="771" spans="1:11" s="866" customFormat="1" ht="28.8" x14ac:dyDescent="0.3">
      <c r="A771" s="869" t="s">
        <v>2205</v>
      </c>
      <c r="B771" s="877">
        <f>'[1]PLAN DE DESARROLLO 2024 - 2027'!$M$46</f>
        <v>0.25251661967012345</v>
      </c>
      <c r="C771" s="869" t="s">
        <v>2237</v>
      </c>
      <c r="D771" s="878">
        <f>'[1]PLAN DE DESARROLLO 2024 - 2027'!$M$64</f>
        <v>0.21558039327044773</v>
      </c>
      <c r="E771" s="869" t="s">
        <v>1658</v>
      </c>
      <c r="F771" s="879">
        <f>[2]Hoja1!$B$161</f>
        <v>0.13333333333333333</v>
      </c>
      <c r="G771" s="869" t="s">
        <v>535</v>
      </c>
      <c r="H771" s="869" t="s">
        <v>536</v>
      </c>
      <c r="I771" s="869"/>
      <c r="J771" s="869" t="s">
        <v>516</v>
      </c>
      <c r="K771" s="880" t="s">
        <v>2264</v>
      </c>
    </row>
    <row r="772" spans="1:11" s="866" customFormat="1" ht="43.2" x14ac:dyDescent="0.3">
      <c r="A772" s="869" t="s">
        <v>2205</v>
      </c>
      <c r="B772" s="877">
        <f>'[1]PLAN DE DESARROLLO 2024 - 2027'!$M$46</f>
        <v>0.25251661967012345</v>
      </c>
      <c r="C772" s="869" t="s">
        <v>2237</v>
      </c>
      <c r="D772" s="878">
        <f>'[1]PLAN DE DESARROLLO 2024 - 2027'!$M$64</f>
        <v>0.21558039327044773</v>
      </c>
      <c r="E772" s="869" t="s">
        <v>1658</v>
      </c>
      <c r="F772" s="879">
        <f>[2]Hoja1!$B$161</f>
        <v>0.13333333333333333</v>
      </c>
      <c r="G772" s="869" t="s">
        <v>537</v>
      </c>
      <c r="H772" s="869" t="s">
        <v>538</v>
      </c>
      <c r="I772" s="869"/>
      <c r="J772" s="869" t="s">
        <v>516</v>
      </c>
      <c r="K772" s="880" t="s">
        <v>2264</v>
      </c>
    </row>
    <row r="773" spans="1:11" s="866" customFormat="1" ht="28.8" x14ac:dyDescent="0.3">
      <c r="A773" s="869" t="s">
        <v>2205</v>
      </c>
      <c r="B773" s="877">
        <f>'[1]PLAN DE DESARROLLO 2024 - 2027'!$M$46</f>
        <v>0.25251661967012345</v>
      </c>
      <c r="C773" s="869" t="s">
        <v>2237</v>
      </c>
      <c r="D773" s="878">
        <f>'[1]PLAN DE DESARROLLO 2024 - 2027'!$M$64</f>
        <v>0.21558039327044773</v>
      </c>
      <c r="E773" s="869" t="s">
        <v>1658</v>
      </c>
      <c r="F773" s="879">
        <f>[2]Hoja1!$B$161</f>
        <v>0.13333333333333333</v>
      </c>
      <c r="G773" s="869" t="s">
        <v>539</v>
      </c>
      <c r="H773" s="869" t="s">
        <v>540</v>
      </c>
      <c r="I773" s="869"/>
      <c r="J773" s="869" t="s">
        <v>516</v>
      </c>
      <c r="K773" s="880" t="s">
        <v>2264</v>
      </c>
    </row>
    <row r="774" spans="1:11" s="866" customFormat="1" ht="28.8" x14ac:dyDescent="0.3">
      <c r="A774" s="869" t="s">
        <v>2151</v>
      </c>
      <c r="B774" s="877">
        <f>'[1]PLAN DE DESARROLLO 2024 - 2027'!$M$4</f>
        <v>0.24028917333263158</v>
      </c>
      <c r="C774" s="869" t="s">
        <v>2154</v>
      </c>
      <c r="D774" s="878">
        <f>'[1]PLAN DE DESARROLLO 2024 - 2027'!$M$11</f>
        <v>0.24196521875000004</v>
      </c>
      <c r="E774" s="869" t="s">
        <v>1603</v>
      </c>
      <c r="F774" s="879">
        <f>[2]Hoja1!$B$7</f>
        <v>0.14335000000000001</v>
      </c>
      <c r="G774" s="869" t="s">
        <v>101</v>
      </c>
      <c r="H774" s="869" t="s">
        <v>2155</v>
      </c>
      <c r="I774" s="869"/>
      <c r="J774" s="869" t="s">
        <v>12</v>
      </c>
      <c r="K774" s="880" t="s">
        <v>2264</v>
      </c>
    </row>
    <row r="775" spans="1:11" s="866" customFormat="1" ht="28.8" x14ac:dyDescent="0.3">
      <c r="A775" s="869" t="s">
        <v>2151</v>
      </c>
      <c r="B775" s="877">
        <f>'[1]PLAN DE DESARROLLO 2024 - 2027'!$M$4</f>
        <v>0.24028917333263158</v>
      </c>
      <c r="C775" s="869" t="s">
        <v>2154</v>
      </c>
      <c r="D775" s="878">
        <f>'[1]PLAN DE DESARROLLO 2024 - 2027'!$M$11</f>
        <v>0.24196521875000004</v>
      </c>
      <c r="E775" s="869" t="s">
        <v>1603</v>
      </c>
      <c r="F775" s="879">
        <f>[2]Hoja1!$B$7</f>
        <v>0.14335000000000001</v>
      </c>
      <c r="G775" s="869" t="s">
        <v>103</v>
      </c>
      <c r="H775" s="869" t="s">
        <v>2156</v>
      </c>
      <c r="I775" s="869"/>
      <c r="J775" s="869" t="s">
        <v>12</v>
      </c>
      <c r="K775" s="880" t="s">
        <v>2264</v>
      </c>
    </row>
    <row r="776" spans="1:11" s="866" customFormat="1" ht="43.2" x14ac:dyDescent="0.3">
      <c r="A776" s="869" t="s">
        <v>2151</v>
      </c>
      <c r="B776" s="877">
        <f>'[1]PLAN DE DESARROLLO 2024 - 2027'!$M$4</f>
        <v>0.24028917333263158</v>
      </c>
      <c r="C776" s="869" t="s">
        <v>2154</v>
      </c>
      <c r="D776" s="878">
        <f>'[1]PLAN DE DESARROLLO 2024 - 2027'!$M$11</f>
        <v>0.24196521875000004</v>
      </c>
      <c r="E776" s="869" t="s">
        <v>1603</v>
      </c>
      <c r="F776" s="879">
        <f>[2]Hoja1!$B$7</f>
        <v>0.14335000000000001</v>
      </c>
      <c r="G776" s="869" t="s">
        <v>105</v>
      </c>
      <c r="H776" s="869" t="s">
        <v>106</v>
      </c>
      <c r="I776" s="869"/>
      <c r="J776" s="869" t="s">
        <v>12</v>
      </c>
      <c r="K776" s="880" t="s">
        <v>2264</v>
      </c>
    </row>
    <row r="777" spans="1:11" s="866" customFormat="1" ht="28.8" x14ac:dyDescent="0.3">
      <c r="A777" s="869" t="s">
        <v>2151</v>
      </c>
      <c r="B777" s="877">
        <f>'[1]PLAN DE DESARROLLO 2024 - 2027'!$M$4</f>
        <v>0.24028917333263158</v>
      </c>
      <c r="C777" s="869" t="s">
        <v>2154</v>
      </c>
      <c r="D777" s="878">
        <f>'[1]PLAN DE DESARROLLO 2024 - 2027'!$M$11</f>
        <v>0.24196521875000004</v>
      </c>
      <c r="E777" s="869" t="s">
        <v>1603</v>
      </c>
      <c r="F777" s="879">
        <f>[2]Hoja1!$B$7</f>
        <v>0.14335000000000001</v>
      </c>
      <c r="G777" s="869" t="s">
        <v>107</v>
      </c>
      <c r="H777" s="869" t="s">
        <v>108</v>
      </c>
      <c r="I777" s="869"/>
      <c r="J777" s="869" t="s">
        <v>12</v>
      </c>
      <c r="K777" s="880" t="s">
        <v>2264</v>
      </c>
    </row>
    <row r="778" spans="1:11" s="866" customFormat="1" ht="28.8" x14ac:dyDescent="0.3">
      <c r="A778" s="869" t="s">
        <v>2151</v>
      </c>
      <c r="B778" s="877">
        <f>'[1]PLAN DE DESARROLLO 2024 - 2027'!$M$4</f>
        <v>0.24028917333263158</v>
      </c>
      <c r="C778" s="869" t="s">
        <v>2154</v>
      </c>
      <c r="D778" s="878">
        <f>'[1]PLAN DE DESARROLLO 2024 - 2027'!$M$11</f>
        <v>0.24196521875000004</v>
      </c>
      <c r="E778" s="869" t="s">
        <v>1603</v>
      </c>
      <c r="F778" s="879">
        <f>[2]Hoja1!$B$7</f>
        <v>0.14335000000000001</v>
      </c>
      <c r="G778" s="869" t="s">
        <v>109</v>
      </c>
      <c r="H778" s="869" t="s">
        <v>110</v>
      </c>
      <c r="I778" s="869"/>
      <c r="J778" s="869" t="s">
        <v>12</v>
      </c>
      <c r="K778" s="880" t="s">
        <v>2264</v>
      </c>
    </row>
    <row r="779" spans="1:11" s="866" customFormat="1" ht="28.8" x14ac:dyDescent="0.3">
      <c r="A779" s="869" t="s">
        <v>2151</v>
      </c>
      <c r="B779" s="877">
        <f>'[1]PLAN DE DESARROLLO 2024 - 2027'!$M$4</f>
        <v>0.24028917333263158</v>
      </c>
      <c r="C779" s="869" t="s">
        <v>2154</v>
      </c>
      <c r="D779" s="878">
        <f>'[1]PLAN DE DESARROLLO 2024 - 2027'!$M$11</f>
        <v>0.24196521875000004</v>
      </c>
      <c r="E779" s="869" t="s">
        <v>1603</v>
      </c>
      <c r="F779" s="879">
        <f>[2]Hoja1!$B$7</f>
        <v>0.14335000000000001</v>
      </c>
      <c r="G779" s="869" t="s">
        <v>111</v>
      </c>
      <c r="H779" s="869" t="s">
        <v>112</v>
      </c>
      <c r="I779" s="869"/>
      <c r="J779" s="869" t="s">
        <v>12</v>
      </c>
      <c r="K779" s="880" t="s">
        <v>2264</v>
      </c>
    </row>
    <row r="780" spans="1:11" s="866" customFormat="1" ht="43.2" x14ac:dyDescent="0.3">
      <c r="A780" s="869" t="s">
        <v>2151</v>
      </c>
      <c r="B780" s="877">
        <f>'[1]PLAN DE DESARROLLO 2024 - 2027'!$M$4</f>
        <v>0.24028917333263158</v>
      </c>
      <c r="C780" s="869" t="s">
        <v>2154</v>
      </c>
      <c r="D780" s="878">
        <f>'[1]PLAN DE DESARROLLO 2024 - 2027'!$M$11</f>
        <v>0.24196521875000004</v>
      </c>
      <c r="E780" s="869" t="s">
        <v>1603</v>
      </c>
      <c r="F780" s="879">
        <f>[2]Hoja1!$B$7</f>
        <v>0.14335000000000001</v>
      </c>
      <c r="G780" s="869" t="s">
        <v>113</v>
      </c>
      <c r="H780" s="869" t="s">
        <v>114</v>
      </c>
      <c r="I780" s="869"/>
      <c r="J780" s="869" t="s">
        <v>12</v>
      </c>
      <c r="K780" s="880" t="s">
        <v>2264</v>
      </c>
    </row>
    <row r="781" spans="1:11" s="866" customFormat="1" ht="28.8" x14ac:dyDescent="0.3">
      <c r="A781" s="869" t="s">
        <v>2205</v>
      </c>
      <c r="B781" s="877">
        <f>'[1]PLAN DE DESARROLLO 2024 - 2027'!$M$46</f>
        <v>0.25251661967012345</v>
      </c>
      <c r="C781" s="869" t="s">
        <v>2237</v>
      </c>
      <c r="D781" s="878">
        <f>'[1]PLAN DE DESARROLLO 2024 - 2027'!$M$64</f>
        <v>0.21558039327044773</v>
      </c>
      <c r="E781" s="869" t="s">
        <v>1658</v>
      </c>
      <c r="F781" s="879">
        <f>[2]Hoja1!$B$161</f>
        <v>0.13333333333333333</v>
      </c>
      <c r="G781" s="869" t="s">
        <v>541</v>
      </c>
      <c r="H781" s="869" t="s">
        <v>542</v>
      </c>
      <c r="I781" s="869"/>
      <c r="J781" s="869" t="s">
        <v>516</v>
      </c>
      <c r="K781" s="880" t="s">
        <v>2264</v>
      </c>
    </row>
    <row r="782" spans="1:11" s="866" customFormat="1" ht="28.8" x14ac:dyDescent="0.3">
      <c r="A782" s="869" t="s">
        <v>2205</v>
      </c>
      <c r="B782" s="877">
        <f>'[1]PLAN DE DESARROLLO 2024 - 2027'!$M$46</f>
        <v>0.25251661967012345</v>
      </c>
      <c r="C782" s="869" t="s">
        <v>2237</v>
      </c>
      <c r="D782" s="878">
        <f>'[1]PLAN DE DESARROLLO 2024 - 2027'!$M$64</f>
        <v>0.21558039327044773</v>
      </c>
      <c r="E782" s="869" t="s">
        <v>1658</v>
      </c>
      <c r="F782" s="879">
        <f>[2]Hoja1!$B$161</f>
        <v>0.13333333333333333</v>
      </c>
      <c r="G782" s="869" t="s">
        <v>543</v>
      </c>
      <c r="H782" s="869" t="s">
        <v>544</v>
      </c>
      <c r="I782" s="869"/>
      <c r="J782" s="869" t="s">
        <v>516</v>
      </c>
      <c r="K782" s="880" t="s">
        <v>2264</v>
      </c>
    </row>
    <row r="783" spans="1:11" s="866" customFormat="1" ht="28.8" x14ac:dyDescent="0.3">
      <c r="A783" s="869" t="s">
        <v>2205</v>
      </c>
      <c r="B783" s="877">
        <f>'[1]PLAN DE DESARROLLO 2024 - 2027'!$M$46</f>
        <v>0.25251661967012345</v>
      </c>
      <c r="C783" s="869" t="s">
        <v>2237</v>
      </c>
      <c r="D783" s="878">
        <f>'[1]PLAN DE DESARROLLO 2024 - 2027'!$M$64</f>
        <v>0.21558039327044773</v>
      </c>
      <c r="E783" s="869" t="s">
        <v>1658</v>
      </c>
      <c r="F783" s="879">
        <f>[2]Hoja1!$B$161</f>
        <v>0.13333333333333333</v>
      </c>
      <c r="G783" s="869" t="s">
        <v>545</v>
      </c>
      <c r="H783" s="869" t="s">
        <v>546</v>
      </c>
      <c r="I783" s="869"/>
      <c r="J783" s="869" t="s">
        <v>516</v>
      </c>
      <c r="K783" s="880" t="s">
        <v>2264</v>
      </c>
    </row>
    <row r="784" spans="1:11" s="866" customFormat="1" ht="28.8" x14ac:dyDescent="0.3">
      <c r="A784" s="869" t="s">
        <v>2205</v>
      </c>
      <c r="B784" s="877">
        <f>'[1]PLAN DE DESARROLLO 2024 - 2027'!$M$46</f>
        <v>0.25251661967012345</v>
      </c>
      <c r="C784" s="869" t="s">
        <v>2237</v>
      </c>
      <c r="D784" s="878">
        <f>'[1]PLAN DE DESARROLLO 2024 - 2027'!$M$64</f>
        <v>0.21558039327044773</v>
      </c>
      <c r="E784" s="869" t="s">
        <v>1658</v>
      </c>
      <c r="F784" s="879">
        <f>[2]Hoja1!$B$161</f>
        <v>0.13333333333333333</v>
      </c>
      <c r="G784" s="869" t="s">
        <v>547</v>
      </c>
      <c r="H784" s="869" t="s">
        <v>548</v>
      </c>
      <c r="I784" s="869"/>
      <c r="J784" s="869" t="s">
        <v>516</v>
      </c>
      <c r="K784" s="880" t="s">
        <v>2264</v>
      </c>
    </row>
    <row r="785" spans="1:11" s="866" customFormat="1" ht="28.8" x14ac:dyDescent="0.3">
      <c r="A785" s="869" t="s">
        <v>2151</v>
      </c>
      <c r="B785" s="877">
        <f>'[1]PLAN DE DESARROLLO 2024 - 2027'!$M$4</f>
        <v>0.24028917333263158</v>
      </c>
      <c r="C785" s="869" t="s">
        <v>2154</v>
      </c>
      <c r="D785" s="878">
        <f>'[1]PLAN DE DESARROLLO 2024 - 2027'!$M$11</f>
        <v>0.24196521875000004</v>
      </c>
      <c r="E785" s="869" t="s">
        <v>1603</v>
      </c>
      <c r="F785" s="879">
        <f>[2]Hoja1!$B$7</f>
        <v>0.14335000000000001</v>
      </c>
      <c r="G785" s="869" t="s">
        <v>115</v>
      </c>
      <c r="H785" s="869" t="s">
        <v>116</v>
      </c>
      <c r="I785" s="869"/>
      <c r="J785" s="869" t="s">
        <v>12</v>
      </c>
      <c r="K785" s="880" t="s">
        <v>2264</v>
      </c>
    </row>
    <row r="786" spans="1:11" s="866" customFormat="1" ht="28.8" x14ac:dyDescent="0.3">
      <c r="A786" s="869" t="s">
        <v>2151</v>
      </c>
      <c r="B786" s="877">
        <f>'[1]PLAN DE DESARROLLO 2024 - 2027'!$M$4</f>
        <v>0.24028917333263158</v>
      </c>
      <c r="C786" s="869" t="s">
        <v>2154</v>
      </c>
      <c r="D786" s="878">
        <f>'[1]PLAN DE DESARROLLO 2024 - 2027'!$M$11</f>
        <v>0.24196521875000004</v>
      </c>
      <c r="E786" s="869" t="s">
        <v>1603</v>
      </c>
      <c r="F786" s="879">
        <f>[2]Hoja1!$B$7</f>
        <v>0.14335000000000001</v>
      </c>
      <c r="G786" s="869" t="s">
        <v>117</v>
      </c>
      <c r="H786" s="869" t="s">
        <v>118</v>
      </c>
      <c r="I786" s="869"/>
      <c r="J786" s="869" t="s">
        <v>12</v>
      </c>
      <c r="K786" s="880" t="s">
        <v>2264</v>
      </c>
    </row>
    <row r="787" spans="1:11" s="866" customFormat="1" ht="28.8" x14ac:dyDescent="0.3">
      <c r="A787" s="869" t="s">
        <v>2025</v>
      </c>
      <c r="B787" s="881">
        <f>'[1]PLAN DE DESARROLLO 2024 - 2027'!$M$123</f>
        <v>0.20174333228533195</v>
      </c>
      <c r="C787" s="869" t="s">
        <v>2062</v>
      </c>
      <c r="D787" s="878">
        <f>'[1]PLAN DE DESARROLLO 2024 - 2027'!$M$136</f>
        <v>0.3779372351486594</v>
      </c>
      <c r="E787" s="869" t="s">
        <v>2064</v>
      </c>
      <c r="F787" s="879">
        <f>[2]Hoja1!$B$40</f>
        <v>0.35532727272727277</v>
      </c>
      <c r="G787" s="869" t="s">
        <v>854</v>
      </c>
      <c r="H787" s="869" t="s">
        <v>1308</v>
      </c>
      <c r="I787" s="869"/>
      <c r="J787" s="869" t="s">
        <v>852</v>
      </c>
      <c r="K787" s="880" t="s">
        <v>2264</v>
      </c>
    </row>
    <row r="788" spans="1:11" s="866" customFormat="1" ht="28.8" x14ac:dyDescent="0.3">
      <c r="A788" s="869" t="s">
        <v>2025</v>
      </c>
      <c r="B788" s="881">
        <f>'[1]PLAN DE DESARROLLO 2024 - 2027'!$M$123</f>
        <v>0.20174333228533195</v>
      </c>
      <c r="C788" s="869" t="s">
        <v>2062</v>
      </c>
      <c r="D788" s="878">
        <f>'[1]PLAN DE DESARROLLO 2024 - 2027'!$M$136</f>
        <v>0.3779372351486594</v>
      </c>
      <c r="E788" s="869" t="s">
        <v>2064</v>
      </c>
      <c r="F788" s="879">
        <f>[2]Hoja1!$B$40</f>
        <v>0.35532727272727277</v>
      </c>
      <c r="G788" s="869" t="s">
        <v>855</v>
      </c>
      <c r="H788" s="869" t="s">
        <v>1309</v>
      </c>
      <c r="I788" s="869"/>
      <c r="J788" s="869" t="s">
        <v>852</v>
      </c>
      <c r="K788" s="880" t="s">
        <v>2264</v>
      </c>
    </row>
    <row r="789" spans="1:11" s="866" customFormat="1" ht="28.8" x14ac:dyDescent="0.3">
      <c r="A789" s="869" t="s">
        <v>2025</v>
      </c>
      <c r="B789" s="881">
        <f>'[1]PLAN DE DESARROLLO 2024 - 2027'!$M$123</f>
        <v>0.20174333228533195</v>
      </c>
      <c r="C789" s="869" t="s">
        <v>2062</v>
      </c>
      <c r="D789" s="878">
        <f>'[1]PLAN DE DESARROLLO 2024 - 2027'!$M$136</f>
        <v>0.3779372351486594</v>
      </c>
      <c r="E789" s="869" t="s">
        <v>2067</v>
      </c>
      <c r="F789" s="879">
        <f>[2]Hoja1!$B$101</f>
        <v>0.34100862068965521</v>
      </c>
      <c r="G789" s="869" t="s">
        <v>859</v>
      </c>
      <c r="H789" s="869" t="s">
        <v>1313</v>
      </c>
      <c r="I789" s="869"/>
      <c r="J789" s="869" t="s">
        <v>852</v>
      </c>
      <c r="K789" s="880" t="s">
        <v>2264</v>
      </c>
    </row>
    <row r="790" spans="1:11" s="866" customFormat="1" ht="28.8" x14ac:dyDescent="0.3">
      <c r="A790" s="869" t="s">
        <v>2025</v>
      </c>
      <c r="B790" s="881">
        <f>'[1]PLAN DE DESARROLLO 2024 - 2027'!$M$123</f>
        <v>0.20174333228533195</v>
      </c>
      <c r="C790" s="869" t="s">
        <v>2062</v>
      </c>
      <c r="D790" s="878">
        <f>'[1]PLAN DE DESARROLLO 2024 - 2027'!$M$136</f>
        <v>0.3779372351486594</v>
      </c>
      <c r="E790" s="869" t="s">
        <v>2067</v>
      </c>
      <c r="F790" s="879">
        <f>[2]Hoja1!$B$101</f>
        <v>0.34100862068965521</v>
      </c>
      <c r="G790" s="869" t="s">
        <v>860</v>
      </c>
      <c r="H790" s="869" t="s">
        <v>1314</v>
      </c>
      <c r="I790" s="869"/>
      <c r="J790" s="869" t="s">
        <v>852</v>
      </c>
      <c r="K790" s="880" t="s">
        <v>2264</v>
      </c>
    </row>
    <row r="791" spans="1:11" s="866" customFormat="1" ht="43.2" x14ac:dyDescent="0.3">
      <c r="A791" s="869" t="s">
        <v>2025</v>
      </c>
      <c r="B791" s="881">
        <f>'[1]PLAN DE DESARROLLO 2024 - 2027'!$M$123</f>
        <v>0.20174333228533195</v>
      </c>
      <c r="C791" s="869" t="s">
        <v>2062</v>
      </c>
      <c r="D791" s="878">
        <f>'[1]PLAN DE DESARROLLO 2024 - 2027'!$M$136</f>
        <v>0.3779372351486594</v>
      </c>
      <c r="E791" s="869" t="s">
        <v>2067</v>
      </c>
      <c r="F791" s="879">
        <f>[2]Hoja1!$B$101</f>
        <v>0.34100862068965521</v>
      </c>
      <c r="G791" s="869" t="s">
        <v>861</v>
      </c>
      <c r="H791" s="869" t="s">
        <v>1315</v>
      </c>
      <c r="I791" s="869"/>
      <c r="J791" s="869" t="s">
        <v>852</v>
      </c>
      <c r="K791" s="880" t="s">
        <v>2264</v>
      </c>
    </row>
    <row r="792" spans="1:11" s="866" customFormat="1" ht="28.8" x14ac:dyDescent="0.3">
      <c r="A792" s="869" t="s">
        <v>2025</v>
      </c>
      <c r="B792" s="881">
        <f>'[1]PLAN DE DESARROLLO 2024 - 2027'!$M$123</f>
        <v>0.20174333228533195</v>
      </c>
      <c r="C792" s="869" t="s">
        <v>2062</v>
      </c>
      <c r="D792" s="878">
        <f>'[1]PLAN DE DESARROLLO 2024 - 2027'!$M$136</f>
        <v>0.3779372351486594</v>
      </c>
      <c r="E792" s="869" t="s">
        <v>1808</v>
      </c>
      <c r="F792" s="879">
        <f>[2]Hoja1!$B$115</f>
        <v>9.7500000000000003E-2</v>
      </c>
      <c r="G792" s="869" t="s">
        <v>849</v>
      </c>
      <c r="H792" s="869" t="s">
        <v>1304</v>
      </c>
      <c r="I792" s="869"/>
      <c r="J792" s="869" t="s">
        <v>698</v>
      </c>
      <c r="K792" s="880" t="s">
        <v>2264</v>
      </c>
    </row>
    <row r="793" spans="1:11" s="866" customFormat="1" ht="28.8" x14ac:dyDescent="0.3">
      <c r="A793" s="869" t="s">
        <v>2025</v>
      </c>
      <c r="B793" s="881">
        <f>'[1]PLAN DE DESARROLLO 2024 - 2027'!$M$123</f>
        <v>0.20174333228533195</v>
      </c>
      <c r="C793" s="869" t="s">
        <v>2062</v>
      </c>
      <c r="D793" s="878">
        <f>'[1]PLAN DE DESARROLLO 2024 - 2027'!$M$136</f>
        <v>0.3779372351486594</v>
      </c>
      <c r="E793" s="869" t="s">
        <v>1808</v>
      </c>
      <c r="F793" s="879">
        <f>[2]Hoja1!$B$115</f>
        <v>9.7500000000000003E-2</v>
      </c>
      <c r="G793" s="869" t="s">
        <v>850</v>
      </c>
      <c r="H793" s="869" t="s">
        <v>1305</v>
      </c>
      <c r="I793" s="869"/>
      <c r="J793" s="869" t="s">
        <v>2063</v>
      </c>
      <c r="K793" s="880" t="s">
        <v>2264</v>
      </c>
    </row>
    <row r="794" spans="1:11" s="866" customFormat="1" ht="28.8" x14ac:dyDescent="0.3">
      <c r="A794" s="869" t="s">
        <v>2151</v>
      </c>
      <c r="B794" s="877">
        <f>'[1]PLAN DE DESARROLLO 2024 - 2027'!$M$4</f>
        <v>0.24028917333263158</v>
      </c>
      <c r="C794" s="869" t="s">
        <v>2154</v>
      </c>
      <c r="D794" s="878">
        <f>'[1]PLAN DE DESARROLLO 2024 - 2027'!$M$11</f>
        <v>0.24196521875000004</v>
      </c>
      <c r="E794" s="869" t="s">
        <v>1603</v>
      </c>
      <c r="F794" s="879">
        <f>[2]Hoja1!$B$7</f>
        <v>0.14335000000000001</v>
      </c>
      <c r="G794" s="869" t="s">
        <v>119</v>
      </c>
      <c r="H794" s="869" t="s">
        <v>120</v>
      </c>
      <c r="I794" s="869"/>
      <c r="J794" s="869" t="s">
        <v>12</v>
      </c>
      <c r="K794" s="880" t="s">
        <v>2264</v>
      </c>
    </row>
    <row r="795" spans="1:11" s="866" customFormat="1" ht="28.8" x14ac:dyDescent="0.3">
      <c r="A795" s="869" t="s">
        <v>2151</v>
      </c>
      <c r="B795" s="877">
        <f>'[1]PLAN DE DESARROLLO 2024 - 2027'!$M$4</f>
        <v>0.24028917333263158</v>
      </c>
      <c r="C795" s="869" t="s">
        <v>2154</v>
      </c>
      <c r="D795" s="878">
        <f>'[1]PLAN DE DESARROLLO 2024 - 2027'!$M$11</f>
        <v>0.24196521875000004</v>
      </c>
      <c r="E795" s="869" t="s">
        <v>1603</v>
      </c>
      <c r="F795" s="879">
        <f>[2]Hoja1!$B$7</f>
        <v>0.14335000000000001</v>
      </c>
      <c r="G795" s="869" t="s">
        <v>121</v>
      </c>
      <c r="H795" s="869" t="s">
        <v>122</v>
      </c>
      <c r="I795" s="869"/>
      <c r="J795" s="869" t="s">
        <v>12</v>
      </c>
      <c r="K795" s="880" t="s">
        <v>2264</v>
      </c>
    </row>
    <row r="796" spans="1:11" s="866" customFormat="1" ht="28.8" x14ac:dyDescent="0.3">
      <c r="A796" s="869" t="s">
        <v>2151</v>
      </c>
      <c r="B796" s="877">
        <f>'[1]PLAN DE DESARROLLO 2024 - 2027'!$M$4</f>
        <v>0.24028917333263158</v>
      </c>
      <c r="C796" s="869" t="s">
        <v>2154</v>
      </c>
      <c r="D796" s="878">
        <f>'[1]PLAN DE DESARROLLO 2024 - 2027'!$M$11</f>
        <v>0.24196521875000004</v>
      </c>
      <c r="E796" s="869" t="s">
        <v>1603</v>
      </c>
      <c r="F796" s="879">
        <f>[2]Hoja1!$B$7</f>
        <v>0.14335000000000001</v>
      </c>
      <c r="G796" s="869" t="s">
        <v>123</v>
      </c>
      <c r="H796" s="869" t="s">
        <v>124</v>
      </c>
      <c r="I796" s="869"/>
      <c r="J796" s="869" t="s">
        <v>12</v>
      </c>
      <c r="K796" s="880" t="s">
        <v>2264</v>
      </c>
    </row>
    <row r="797" spans="1:11" s="866" customFormat="1" ht="43.2" x14ac:dyDescent="0.3">
      <c r="A797" s="869" t="s">
        <v>2151</v>
      </c>
      <c r="B797" s="877">
        <f>'[1]PLAN DE DESARROLLO 2024 - 2027'!$M$4</f>
        <v>0.24028917333263158</v>
      </c>
      <c r="C797" s="869" t="s">
        <v>2154</v>
      </c>
      <c r="D797" s="878">
        <f>'[1]PLAN DE DESARROLLO 2024 - 2027'!$M$11</f>
        <v>0.24196521875000004</v>
      </c>
      <c r="E797" s="869" t="s">
        <v>1603</v>
      </c>
      <c r="F797" s="879">
        <f>[2]Hoja1!$B$7</f>
        <v>0.14335000000000001</v>
      </c>
      <c r="G797" s="869" t="s">
        <v>125</v>
      </c>
      <c r="H797" s="869" t="s">
        <v>126</v>
      </c>
      <c r="I797" s="869"/>
      <c r="J797" s="869" t="s">
        <v>12</v>
      </c>
      <c r="K797" s="880" t="s">
        <v>2264</v>
      </c>
    </row>
    <row r="798" spans="1:11" s="866" customFormat="1" ht="28.8" x14ac:dyDescent="0.3">
      <c r="A798" s="869" t="s">
        <v>2025</v>
      </c>
      <c r="B798" s="881">
        <f>'[1]PLAN DE DESARROLLO 2024 - 2027'!$M$123</f>
        <v>0.20174333228533195</v>
      </c>
      <c r="C798" s="869" t="s">
        <v>2062</v>
      </c>
      <c r="D798" s="878">
        <f>'[1]PLAN DE DESARROLLO 2024 - 2027'!$M$136</f>
        <v>0.3779372351486594</v>
      </c>
      <c r="E798" s="869" t="s">
        <v>1810</v>
      </c>
      <c r="F798" s="879">
        <f>[2]Hoja1!$B$129</f>
        <v>0.14285714285714285</v>
      </c>
      <c r="G798" s="869" t="s">
        <v>862</v>
      </c>
      <c r="H798" s="869" t="s">
        <v>1316</v>
      </c>
      <c r="I798" s="869"/>
      <c r="J798" s="869" t="s">
        <v>863</v>
      </c>
      <c r="K798" s="880" t="s">
        <v>2264</v>
      </c>
    </row>
    <row r="799" spans="1:11" s="866" customFormat="1" ht="28.8" x14ac:dyDescent="0.3">
      <c r="A799" s="869" t="s">
        <v>2025</v>
      </c>
      <c r="B799" s="881">
        <f>'[1]PLAN DE DESARROLLO 2024 - 2027'!$M$123</f>
        <v>0.20174333228533195</v>
      </c>
      <c r="C799" s="869" t="s">
        <v>2062</v>
      </c>
      <c r="D799" s="878">
        <f>'[1]PLAN DE DESARROLLO 2024 - 2027'!$M$136</f>
        <v>0.3779372351486594</v>
      </c>
      <c r="E799" s="869" t="s">
        <v>1809</v>
      </c>
      <c r="F799" s="879">
        <f>[2]Hoja1!$B$135</f>
        <v>0.62548089591567846</v>
      </c>
      <c r="G799" s="869" t="s">
        <v>856</v>
      </c>
      <c r="H799" s="869" t="s">
        <v>1310</v>
      </c>
      <c r="I799" s="869"/>
      <c r="J799" s="869" t="s">
        <v>2066</v>
      </c>
      <c r="K799" s="880" t="s">
        <v>2264</v>
      </c>
    </row>
    <row r="800" spans="1:11" s="866" customFormat="1" ht="28.8" x14ac:dyDescent="0.3">
      <c r="A800" s="869" t="s">
        <v>2025</v>
      </c>
      <c r="B800" s="881">
        <f>'[1]PLAN DE DESARROLLO 2024 - 2027'!$M$123</f>
        <v>0.20174333228533195</v>
      </c>
      <c r="C800" s="869" t="s">
        <v>2062</v>
      </c>
      <c r="D800" s="878">
        <f>'[1]PLAN DE DESARROLLO 2024 - 2027'!$M$136</f>
        <v>0.3779372351486594</v>
      </c>
      <c r="E800" s="869" t="s">
        <v>1809</v>
      </c>
      <c r="F800" s="879">
        <f>[2]Hoja1!$B$135</f>
        <v>0.62548089591567846</v>
      </c>
      <c r="G800" s="869" t="s">
        <v>857</v>
      </c>
      <c r="H800" s="869" t="s">
        <v>1311</v>
      </c>
      <c r="I800" s="869"/>
      <c r="J800" s="869" t="s">
        <v>852</v>
      </c>
      <c r="K800" s="880" t="s">
        <v>2264</v>
      </c>
    </row>
    <row r="801" spans="1:11" s="866" customFormat="1" ht="28.8" x14ac:dyDescent="0.3">
      <c r="A801" s="869" t="s">
        <v>2118</v>
      </c>
      <c r="B801" s="881">
        <f>'[1]PLAN DE DESARROLLO 2024 - 2027'!$M$161</f>
        <v>0.24647581985093744</v>
      </c>
      <c r="C801" s="869" t="s">
        <v>2136</v>
      </c>
      <c r="D801" s="878">
        <f>'[1]PLAN DE DESARROLLO 2024 - 2027'!$M$178</f>
        <v>0.30658085759781617</v>
      </c>
      <c r="E801" s="869" t="s">
        <v>1830</v>
      </c>
      <c r="F801" s="879">
        <f>[2]Hoja1!$B$23</f>
        <v>0.13625000000000004</v>
      </c>
      <c r="G801" s="869" t="s">
        <v>1005</v>
      </c>
      <c r="H801" s="869" t="s">
        <v>1204</v>
      </c>
      <c r="I801" s="869"/>
      <c r="J801" s="869" t="s">
        <v>998</v>
      </c>
      <c r="K801" s="880" t="s">
        <v>2264</v>
      </c>
    </row>
    <row r="802" spans="1:11" s="866" customFormat="1" ht="43.2" x14ac:dyDescent="0.3">
      <c r="A802" s="869" t="s">
        <v>2118</v>
      </c>
      <c r="B802" s="881">
        <f>'[1]PLAN DE DESARROLLO 2024 - 2027'!$M$161</f>
        <v>0.24647581985093744</v>
      </c>
      <c r="C802" s="869" t="s">
        <v>2136</v>
      </c>
      <c r="D802" s="878">
        <f>'[1]PLAN DE DESARROLLO 2024 - 2027'!$M$178</f>
        <v>0.30658085759781617</v>
      </c>
      <c r="E802" s="869" t="s">
        <v>1830</v>
      </c>
      <c r="F802" s="879">
        <f>[2]Hoja1!$B$23</f>
        <v>0.13625000000000004</v>
      </c>
      <c r="G802" s="869" t="s">
        <v>1006</v>
      </c>
      <c r="H802" s="869" t="s">
        <v>1205</v>
      </c>
      <c r="I802" s="869"/>
      <c r="J802" s="869" t="s">
        <v>998</v>
      </c>
      <c r="K802" s="880" t="s">
        <v>2264</v>
      </c>
    </row>
    <row r="803" spans="1:11" s="866" customFormat="1" ht="28.8" x14ac:dyDescent="0.3">
      <c r="A803" s="869" t="s">
        <v>2118</v>
      </c>
      <c r="B803" s="881">
        <f>'[1]PLAN DE DESARROLLO 2024 - 2027'!$M$161</f>
        <v>0.24647581985093744</v>
      </c>
      <c r="C803" s="869" t="s">
        <v>2136</v>
      </c>
      <c r="D803" s="878">
        <f>'[1]PLAN DE DESARROLLO 2024 - 2027'!$M$178</f>
        <v>0.30658085759781617</v>
      </c>
      <c r="E803" s="869" t="s">
        <v>1830</v>
      </c>
      <c r="F803" s="879">
        <f>[2]Hoja1!$B$23</f>
        <v>0.13625000000000004</v>
      </c>
      <c r="G803" s="869" t="s">
        <v>1007</v>
      </c>
      <c r="H803" s="869" t="s">
        <v>1206</v>
      </c>
      <c r="I803" s="869"/>
      <c r="J803" s="869" t="s">
        <v>998</v>
      </c>
      <c r="K803" s="880" t="s">
        <v>2264</v>
      </c>
    </row>
    <row r="804" spans="1:11" s="866" customFormat="1" ht="28.8" x14ac:dyDescent="0.3">
      <c r="A804" s="869" t="s">
        <v>2118</v>
      </c>
      <c r="B804" s="881">
        <f>'[1]PLAN DE DESARROLLO 2024 - 2027'!$M$161</f>
        <v>0.24647581985093744</v>
      </c>
      <c r="C804" s="869" t="s">
        <v>2136</v>
      </c>
      <c r="D804" s="878">
        <f>'[1]PLAN DE DESARROLLO 2024 - 2027'!$M$178</f>
        <v>0.30658085759781617</v>
      </c>
      <c r="E804" s="869" t="s">
        <v>1830</v>
      </c>
      <c r="F804" s="879">
        <f>[2]Hoja1!$B$23</f>
        <v>0.13625000000000004</v>
      </c>
      <c r="G804" s="869" t="s">
        <v>1008</v>
      </c>
      <c r="H804" s="869" t="s">
        <v>1207</v>
      </c>
      <c r="I804" s="869"/>
      <c r="J804" s="869" t="s">
        <v>998</v>
      </c>
      <c r="K804" s="880" t="s">
        <v>2264</v>
      </c>
    </row>
    <row r="805" spans="1:11" s="866" customFormat="1" ht="28.8" x14ac:dyDescent="0.3">
      <c r="A805" s="869" t="s">
        <v>2118</v>
      </c>
      <c r="B805" s="881">
        <f>'[1]PLAN DE DESARROLLO 2024 - 2027'!$M$161</f>
        <v>0.24647581985093744</v>
      </c>
      <c r="C805" s="869" t="s">
        <v>2136</v>
      </c>
      <c r="D805" s="878">
        <f>'[1]PLAN DE DESARROLLO 2024 - 2027'!$M$178</f>
        <v>0.30658085759781617</v>
      </c>
      <c r="E805" s="869" t="s">
        <v>1830</v>
      </c>
      <c r="F805" s="879">
        <f>[2]Hoja1!$B$23</f>
        <v>0.13625000000000004</v>
      </c>
      <c r="G805" s="869" t="s">
        <v>1545</v>
      </c>
      <c r="H805" s="869" t="s">
        <v>1544</v>
      </c>
      <c r="I805" s="869"/>
      <c r="J805" s="869" t="s">
        <v>998</v>
      </c>
      <c r="K805" s="880" t="s">
        <v>2264</v>
      </c>
    </row>
    <row r="806" spans="1:11" s="866" customFormat="1" ht="28.8" x14ac:dyDescent="0.3">
      <c r="A806" s="869" t="s">
        <v>2205</v>
      </c>
      <c r="B806" s="877">
        <f>'[1]PLAN DE DESARROLLO 2024 - 2027'!$M$46</f>
        <v>0.25251661967012345</v>
      </c>
      <c r="C806" s="869" t="s">
        <v>2209</v>
      </c>
      <c r="D806" s="878">
        <f>'[1]PLAN DE DESARROLLO 2024 - 2027'!$M$73</f>
        <v>0.25984040977313172</v>
      </c>
      <c r="E806" s="869" t="s">
        <v>2247</v>
      </c>
      <c r="F806" s="879">
        <f>[2]Hoja1!$B$24</f>
        <v>0.38375000000000004</v>
      </c>
      <c r="G806" s="869" t="s">
        <v>602</v>
      </c>
      <c r="H806" s="869" t="s">
        <v>603</v>
      </c>
      <c r="I806" s="869"/>
      <c r="J806" s="869" t="s">
        <v>565</v>
      </c>
      <c r="K806" s="880" t="s">
        <v>2264</v>
      </c>
    </row>
    <row r="807" spans="1:11" s="866" customFormat="1" ht="28.8" x14ac:dyDescent="0.3">
      <c r="A807" s="869" t="s">
        <v>2205</v>
      </c>
      <c r="B807" s="877">
        <f>'[1]PLAN DE DESARROLLO 2024 - 2027'!$M$46</f>
        <v>0.25251661967012345</v>
      </c>
      <c r="C807" s="869" t="s">
        <v>2209</v>
      </c>
      <c r="D807" s="878">
        <f>'[1]PLAN DE DESARROLLO 2024 - 2027'!$M$73</f>
        <v>0.25984040977313172</v>
      </c>
      <c r="E807" s="869" t="s">
        <v>2247</v>
      </c>
      <c r="F807" s="879">
        <f>[2]Hoja1!$B$24</f>
        <v>0.38375000000000004</v>
      </c>
      <c r="G807" s="869" t="s">
        <v>604</v>
      </c>
      <c r="H807" s="869" t="s">
        <v>605</v>
      </c>
      <c r="I807" s="869"/>
      <c r="J807" s="869" t="s">
        <v>565</v>
      </c>
      <c r="K807" s="880" t="s">
        <v>2264</v>
      </c>
    </row>
    <row r="808" spans="1:11" s="866" customFormat="1" ht="28.8" x14ac:dyDescent="0.3">
      <c r="A808" s="869" t="s">
        <v>2205</v>
      </c>
      <c r="B808" s="877">
        <f>'[1]PLAN DE DESARROLLO 2024 - 2027'!$M$46</f>
        <v>0.25251661967012345</v>
      </c>
      <c r="C808" s="869" t="s">
        <v>2209</v>
      </c>
      <c r="D808" s="878">
        <f>'[1]PLAN DE DESARROLLO 2024 - 2027'!$M$73</f>
        <v>0.25984040977313172</v>
      </c>
      <c r="E808" s="869" t="s">
        <v>2247</v>
      </c>
      <c r="F808" s="879">
        <f>[2]Hoja1!$B$24</f>
        <v>0.38375000000000004</v>
      </c>
      <c r="G808" s="869" t="s">
        <v>606</v>
      </c>
      <c r="H808" s="869" t="s">
        <v>607</v>
      </c>
      <c r="I808" s="869"/>
      <c r="J808" s="869" t="s">
        <v>565</v>
      </c>
      <c r="K808" s="880" t="s">
        <v>2264</v>
      </c>
    </row>
    <row r="809" spans="1:11" s="866" customFormat="1" ht="43.2" x14ac:dyDescent="0.3">
      <c r="A809" s="869" t="s">
        <v>2205</v>
      </c>
      <c r="B809" s="877">
        <f>'[1]PLAN DE DESARROLLO 2024 - 2027'!$M$46</f>
        <v>0.25251661967012345</v>
      </c>
      <c r="C809" s="869" t="s">
        <v>2209</v>
      </c>
      <c r="D809" s="878">
        <f>'[1]PLAN DE DESARROLLO 2024 - 2027'!$M$73</f>
        <v>0.25984040977313172</v>
      </c>
      <c r="E809" s="869" t="s">
        <v>2247</v>
      </c>
      <c r="F809" s="879">
        <f>[2]Hoja1!$B$24</f>
        <v>0.38375000000000004</v>
      </c>
      <c r="G809" s="869" t="s">
        <v>608</v>
      </c>
      <c r="H809" s="869" t="s">
        <v>609</v>
      </c>
      <c r="I809" s="869"/>
      <c r="J809" s="869" t="s">
        <v>565</v>
      </c>
      <c r="K809" s="880" t="s">
        <v>2264</v>
      </c>
    </row>
    <row r="810" spans="1:11" s="866" customFormat="1" ht="28.8" x14ac:dyDescent="0.3">
      <c r="A810" s="869" t="s">
        <v>2205</v>
      </c>
      <c r="B810" s="877">
        <f>'[1]PLAN DE DESARROLLO 2024 - 2027'!$M$46</f>
        <v>0.25251661967012345</v>
      </c>
      <c r="C810" s="869" t="s">
        <v>2209</v>
      </c>
      <c r="D810" s="878">
        <f>'[1]PLAN DE DESARROLLO 2024 - 2027'!$M$73</f>
        <v>0.25984040977313172</v>
      </c>
      <c r="E810" s="869" t="s">
        <v>2247</v>
      </c>
      <c r="F810" s="879">
        <f>[2]Hoja1!$B$24</f>
        <v>0.38375000000000004</v>
      </c>
      <c r="G810" s="869" t="s">
        <v>610</v>
      </c>
      <c r="H810" s="869" t="s">
        <v>611</v>
      </c>
      <c r="I810" s="869"/>
      <c r="J810" s="869" t="s">
        <v>565</v>
      </c>
      <c r="K810" s="880" t="s">
        <v>2264</v>
      </c>
    </row>
    <row r="811" spans="1:11" s="866" customFormat="1" x14ac:dyDescent="0.3">
      <c r="A811" s="869" t="s">
        <v>2076</v>
      </c>
      <c r="B811" s="881">
        <f>'[1]PLAN DE DESARROLLO 2024 - 2027'!$M$92</f>
        <v>0.25050860314981654</v>
      </c>
      <c r="C811" s="869" t="s">
        <v>2105</v>
      </c>
      <c r="D811" s="878">
        <f>'[1]PLAN DE DESARROLLO 2024 - 2027'!$M$116</f>
        <v>0.21525263088160634</v>
      </c>
      <c r="E811" s="869" t="s">
        <v>2110</v>
      </c>
      <c r="F811" s="879">
        <f>[2]Hoja1!$B$25</f>
        <v>0.33749999999999997</v>
      </c>
      <c r="G811" s="869" t="s">
        <v>787</v>
      </c>
      <c r="H811" s="869" t="s">
        <v>1480</v>
      </c>
      <c r="I811" s="869"/>
      <c r="J811" s="869" t="s">
        <v>767</v>
      </c>
      <c r="K811" s="880" t="s">
        <v>2264</v>
      </c>
    </row>
    <row r="812" spans="1:11" s="866" customFormat="1" ht="28.8" x14ac:dyDescent="0.3">
      <c r="A812" s="869" t="s">
        <v>2076</v>
      </c>
      <c r="B812" s="881">
        <f>'[1]PLAN DE DESARROLLO 2024 - 2027'!$M$92</f>
        <v>0.25050860314981654</v>
      </c>
      <c r="C812" s="869" t="s">
        <v>2105</v>
      </c>
      <c r="D812" s="878">
        <f>'[1]PLAN DE DESARROLLO 2024 - 2027'!$M$116</f>
        <v>0.21525263088160634</v>
      </c>
      <c r="E812" s="869" t="s">
        <v>2110</v>
      </c>
      <c r="F812" s="879">
        <f>[2]Hoja1!$B$25</f>
        <v>0.33749999999999997</v>
      </c>
      <c r="G812" s="869" t="s">
        <v>788</v>
      </c>
      <c r="H812" s="869" t="s">
        <v>1481</v>
      </c>
      <c r="I812" s="869"/>
      <c r="J812" s="869" t="s">
        <v>2111</v>
      </c>
      <c r="K812" s="880" t="s">
        <v>2264</v>
      </c>
    </row>
    <row r="813" spans="1:11" s="866" customFormat="1" ht="28.8" x14ac:dyDescent="0.3">
      <c r="A813" s="869" t="s">
        <v>2076</v>
      </c>
      <c r="B813" s="881">
        <f>'[1]PLAN DE DESARROLLO 2024 - 2027'!$M$92</f>
        <v>0.25050860314981654</v>
      </c>
      <c r="C813" s="869" t="s">
        <v>2105</v>
      </c>
      <c r="D813" s="878">
        <f>'[1]PLAN DE DESARROLLO 2024 - 2027'!$M$116</f>
        <v>0.21525263088160634</v>
      </c>
      <c r="E813" s="869" t="s">
        <v>2110</v>
      </c>
      <c r="F813" s="879">
        <f>[2]Hoja1!$B$25</f>
        <v>0.33749999999999997</v>
      </c>
      <c r="G813" s="869" t="s">
        <v>789</v>
      </c>
      <c r="H813" s="869" t="s">
        <v>1482</v>
      </c>
      <c r="I813" s="869"/>
      <c r="J813" s="869" t="s">
        <v>2112</v>
      </c>
      <c r="K813" s="880" t="s">
        <v>2264</v>
      </c>
    </row>
    <row r="814" spans="1:11" s="866" customFormat="1" ht="43.2" x14ac:dyDescent="0.3">
      <c r="A814" s="869" t="s">
        <v>2076</v>
      </c>
      <c r="B814" s="881">
        <f>'[1]PLAN DE DESARROLLO 2024 - 2027'!$M$92</f>
        <v>0.25050860314981654</v>
      </c>
      <c r="C814" s="869" t="s">
        <v>2105</v>
      </c>
      <c r="D814" s="878">
        <f>'[1]PLAN DE DESARROLLO 2024 - 2027'!$M$116</f>
        <v>0.21525263088160634</v>
      </c>
      <c r="E814" s="869" t="s">
        <v>2107</v>
      </c>
      <c r="F814" s="879">
        <f>[2]Hoja1!$B$63</f>
        <v>0.1201949616648412</v>
      </c>
      <c r="G814" s="869" t="s">
        <v>772</v>
      </c>
      <c r="H814" s="869" t="s">
        <v>1468</v>
      </c>
      <c r="I814" s="869"/>
      <c r="J814" s="869" t="s">
        <v>767</v>
      </c>
      <c r="K814" s="880" t="s">
        <v>2264</v>
      </c>
    </row>
    <row r="815" spans="1:11" s="866" customFormat="1" ht="43.2" x14ac:dyDescent="0.3">
      <c r="A815" s="869" t="s">
        <v>2076</v>
      </c>
      <c r="B815" s="881">
        <f>'[1]PLAN DE DESARROLLO 2024 - 2027'!$M$92</f>
        <v>0.25050860314981654</v>
      </c>
      <c r="C815" s="869" t="s">
        <v>2105</v>
      </c>
      <c r="D815" s="878">
        <f>'[1]PLAN DE DESARROLLO 2024 - 2027'!$M$116</f>
        <v>0.21525263088160634</v>
      </c>
      <c r="E815" s="869" t="s">
        <v>2107</v>
      </c>
      <c r="F815" s="879">
        <f>[2]Hoja1!$B$63</f>
        <v>0.1201949616648412</v>
      </c>
      <c r="G815" s="869" t="s">
        <v>773</v>
      </c>
      <c r="H815" s="869" t="s">
        <v>1469</v>
      </c>
      <c r="I815" s="869"/>
      <c r="J815" s="869" t="s">
        <v>767</v>
      </c>
      <c r="K815" s="880" t="s">
        <v>2264</v>
      </c>
    </row>
    <row r="816" spans="1:11" s="866" customFormat="1" ht="43.2" x14ac:dyDescent="0.3">
      <c r="A816" s="869" t="s">
        <v>2076</v>
      </c>
      <c r="B816" s="881">
        <f>'[1]PLAN DE DESARROLLO 2024 - 2027'!$M$92</f>
        <v>0.25050860314981654</v>
      </c>
      <c r="C816" s="869" t="s">
        <v>2105</v>
      </c>
      <c r="D816" s="878">
        <f>'[1]PLAN DE DESARROLLO 2024 - 2027'!$M$116</f>
        <v>0.21525263088160634</v>
      </c>
      <c r="E816" s="869" t="s">
        <v>2107</v>
      </c>
      <c r="F816" s="879">
        <f>[2]Hoja1!$B$63</f>
        <v>0.1201949616648412</v>
      </c>
      <c r="G816" s="869" t="s">
        <v>774</v>
      </c>
      <c r="H816" s="869" t="s">
        <v>1470</v>
      </c>
      <c r="I816" s="869"/>
      <c r="J816" s="869" t="s">
        <v>767</v>
      </c>
      <c r="K816" s="880" t="s">
        <v>2264</v>
      </c>
    </row>
    <row r="817" spans="1:11" s="866" customFormat="1" ht="28.8" x14ac:dyDescent="0.3">
      <c r="A817" s="869" t="s">
        <v>2205</v>
      </c>
      <c r="B817" s="877">
        <f>'[1]PLAN DE DESARROLLO 2024 - 2027'!$M$46</f>
        <v>0.25251661967012345</v>
      </c>
      <c r="C817" s="869" t="s">
        <v>2209</v>
      </c>
      <c r="D817" s="878">
        <f>'[1]PLAN DE DESARROLLO 2024 - 2027'!$M$73</f>
        <v>0.25984040977313172</v>
      </c>
      <c r="E817" s="869" t="s">
        <v>2244</v>
      </c>
      <c r="F817" s="879">
        <f>[2]Hoja1!$B$42</f>
        <v>0.59549999999999992</v>
      </c>
      <c r="G817" s="869" t="s">
        <v>580</v>
      </c>
      <c r="H817" s="869" t="s">
        <v>581</v>
      </c>
      <c r="I817" s="869"/>
      <c r="J817" s="869" t="s">
        <v>565</v>
      </c>
      <c r="K817" s="880" t="s">
        <v>2264</v>
      </c>
    </row>
    <row r="818" spans="1:11" s="866" customFormat="1" ht="28.8" x14ac:dyDescent="0.3">
      <c r="A818" s="869" t="s">
        <v>2205</v>
      </c>
      <c r="B818" s="877">
        <f>'[1]PLAN DE DESARROLLO 2024 - 2027'!$M$46</f>
        <v>0.25251661967012345</v>
      </c>
      <c r="C818" s="869" t="s">
        <v>2209</v>
      </c>
      <c r="D818" s="878">
        <f>'[1]PLAN DE DESARROLLO 2024 - 2027'!$M$73</f>
        <v>0.25984040977313172</v>
      </c>
      <c r="E818" s="869" t="s">
        <v>2244</v>
      </c>
      <c r="F818" s="879">
        <f>[2]Hoja1!$B$42</f>
        <v>0.59549999999999992</v>
      </c>
      <c r="G818" s="869" t="s">
        <v>582</v>
      </c>
      <c r="H818" s="869" t="s">
        <v>583</v>
      </c>
      <c r="I818" s="869"/>
      <c r="J818" s="869" t="s">
        <v>565</v>
      </c>
      <c r="K818" s="880" t="s">
        <v>2264</v>
      </c>
    </row>
    <row r="819" spans="1:11" s="866" customFormat="1" ht="28.8" x14ac:dyDescent="0.3">
      <c r="A819" s="869" t="s">
        <v>2205</v>
      </c>
      <c r="B819" s="877">
        <f>'[1]PLAN DE DESARROLLO 2024 - 2027'!$M$46</f>
        <v>0.25251661967012345</v>
      </c>
      <c r="C819" s="869" t="s">
        <v>2209</v>
      </c>
      <c r="D819" s="878">
        <f>'[1]PLAN DE DESARROLLO 2024 - 2027'!$M$73</f>
        <v>0.25984040977313172</v>
      </c>
      <c r="E819" s="869" t="s">
        <v>2244</v>
      </c>
      <c r="F819" s="879">
        <f>[2]Hoja1!$B$42</f>
        <v>0.59549999999999992</v>
      </c>
      <c r="G819" s="869" t="s">
        <v>584</v>
      </c>
      <c r="H819" s="869" t="s">
        <v>585</v>
      </c>
      <c r="I819" s="869"/>
      <c r="J819" s="869" t="s">
        <v>565</v>
      </c>
      <c r="K819" s="880" t="s">
        <v>2264</v>
      </c>
    </row>
    <row r="820" spans="1:11" s="866" customFormat="1" ht="43.2" x14ac:dyDescent="0.3">
      <c r="A820" s="869" t="s">
        <v>2205</v>
      </c>
      <c r="B820" s="877">
        <f>'[1]PLAN DE DESARROLLO 2024 - 2027'!$M$46</f>
        <v>0.25251661967012345</v>
      </c>
      <c r="C820" s="869" t="s">
        <v>2209</v>
      </c>
      <c r="D820" s="878">
        <f>'[1]PLAN DE DESARROLLO 2024 - 2027'!$M$73</f>
        <v>0.25984040977313172</v>
      </c>
      <c r="E820" s="869" t="s">
        <v>2244</v>
      </c>
      <c r="F820" s="879">
        <f>[2]Hoja1!$B$42</f>
        <v>0.59549999999999992</v>
      </c>
      <c r="G820" s="869" t="s">
        <v>586</v>
      </c>
      <c r="H820" s="869" t="s">
        <v>587</v>
      </c>
      <c r="I820" s="869"/>
      <c r="J820" s="869" t="s">
        <v>565</v>
      </c>
      <c r="K820" s="880" t="s">
        <v>2264</v>
      </c>
    </row>
    <row r="821" spans="1:11" s="866" customFormat="1" ht="28.8" x14ac:dyDescent="0.3">
      <c r="A821" s="869" t="s">
        <v>2118</v>
      </c>
      <c r="B821" s="881">
        <f>'[1]PLAN DE DESARROLLO 2024 - 2027'!$M$161</f>
        <v>0.24647581985093744</v>
      </c>
      <c r="C821" s="869" t="s">
        <v>2119</v>
      </c>
      <c r="D821" s="878">
        <f>'[1]PLAN DE DESARROLLO 2024 - 2027'!$M$162</f>
        <v>0.208125</v>
      </c>
      <c r="E821" s="869" t="s">
        <v>1822</v>
      </c>
      <c r="F821" s="879">
        <f>[2]Hoja1!$B$27</f>
        <v>0.40166666666666662</v>
      </c>
      <c r="G821" s="869" t="s">
        <v>961</v>
      </c>
      <c r="H821" s="869" t="s">
        <v>1166</v>
      </c>
      <c r="I821" s="869"/>
      <c r="J821" s="869" t="s">
        <v>2129</v>
      </c>
      <c r="K821" s="880" t="s">
        <v>2264</v>
      </c>
    </row>
    <row r="822" spans="1:11" s="866" customFormat="1" ht="28.8" x14ac:dyDescent="0.3">
      <c r="A822" s="869" t="s">
        <v>2118</v>
      </c>
      <c r="B822" s="881">
        <f>'[1]PLAN DE DESARROLLO 2024 - 2027'!$M$161</f>
        <v>0.24647581985093744</v>
      </c>
      <c r="C822" s="869" t="s">
        <v>2119</v>
      </c>
      <c r="D822" s="878">
        <f>'[1]PLAN DE DESARROLLO 2024 - 2027'!$M$162</f>
        <v>0.208125</v>
      </c>
      <c r="E822" s="869" t="s">
        <v>1822</v>
      </c>
      <c r="F822" s="879">
        <f>[2]Hoja1!$B$27</f>
        <v>0.40166666666666662</v>
      </c>
      <c r="G822" s="869" t="s">
        <v>963</v>
      </c>
      <c r="H822" s="869" t="s">
        <v>1167</v>
      </c>
      <c r="I822" s="869"/>
      <c r="J822" s="869" t="s">
        <v>2130</v>
      </c>
      <c r="K822" s="880" t="s">
        <v>2264</v>
      </c>
    </row>
    <row r="823" spans="1:11" s="866" customFormat="1" ht="28.8" x14ac:dyDescent="0.3">
      <c r="A823" s="869" t="s">
        <v>2118</v>
      </c>
      <c r="B823" s="881">
        <f>'[1]PLAN DE DESARROLLO 2024 - 2027'!$M$161</f>
        <v>0.24647581985093744</v>
      </c>
      <c r="C823" s="869" t="s">
        <v>2119</v>
      </c>
      <c r="D823" s="878">
        <f>'[1]PLAN DE DESARROLLO 2024 - 2027'!$M$162</f>
        <v>0.208125</v>
      </c>
      <c r="E823" s="869" t="s">
        <v>1822</v>
      </c>
      <c r="F823" s="879">
        <f>[2]Hoja1!$B$27</f>
        <v>0.40166666666666662</v>
      </c>
      <c r="G823" s="869" t="s">
        <v>965</v>
      </c>
      <c r="H823" s="869" t="s">
        <v>1168</v>
      </c>
      <c r="I823" s="869"/>
      <c r="J823" s="869" t="s">
        <v>2130</v>
      </c>
      <c r="K823" s="880" t="s">
        <v>2264</v>
      </c>
    </row>
    <row r="824" spans="1:11" s="866" customFormat="1" ht="28.8" x14ac:dyDescent="0.3">
      <c r="A824" s="869" t="s">
        <v>2118</v>
      </c>
      <c r="B824" s="881">
        <f>'[1]PLAN DE DESARROLLO 2024 - 2027'!$M$161</f>
        <v>0.24647581985093744</v>
      </c>
      <c r="C824" s="869" t="s">
        <v>2119</v>
      </c>
      <c r="D824" s="878">
        <f>'[1]PLAN DE DESARROLLO 2024 - 2027'!$M$162</f>
        <v>0.208125</v>
      </c>
      <c r="E824" s="869" t="s">
        <v>1822</v>
      </c>
      <c r="F824" s="879">
        <f>[2]Hoja1!$B$27</f>
        <v>0.40166666666666662</v>
      </c>
      <c r="G824" s="869" t="s">
        <v>966</v>
      </c>
      <c r="H824" s="869" t="s">
        <v>1169</v>
      </c>
      <c r="I824" s="869"/>
      <c r="J824" s="869" t="s">
        <v>2130</v>
      </c>
      <c r="K824" s="880" t="s">
        <v>2264</v>
      </c>
    </row>
    <row r="825" spans="1:11" s="866" customFormat="1" ht="43.2" x14ac:dyDescent="0.3">
      <c r="A825" s="869" t="s">
        <v>2151</v>
      </c>
      <c r="B825" s="877">
        <f>'[1]PLAN DE DESARROLLO 2024 - 2027'!$M$4</f>
        <v>0.24028917333263158</v>
      </c>
      <c r="C825" s="869" t="s">
        <v>2154</v>
      </c>
      <c r="D825" s="878">
        <f>'[1]PLAN DE DESARROLLO 2024 - 2027'!$M$11</f>
        <v>0.24196521875000004</v>
      </c>
      <c r="E825" s="869" t="s">
        <v>1603</v>
      </c>
      <c r="F825" s="879">
        <f>[2]Hoja1!$B$7</f>
        <v>0.14335000000000001</v>
      </c>
      <c r="G825" s="869" t="s">
        <v>127</v>
      </c>
      <c r="H825" s="869" t="s">
        <v>128</v>
      </c>
      <c r="I825" s="869"/>
      <c r="J825" s="869" t="s">
        <v>12</v>
      </c>
      <c r="K825" s="880" t="s">
        <v>2264</v>
      </c>
    </row>
    <row r="826" spans="1:11" s="866" customFormat="1" ht="28.8" x14ac:dyDescent="0.3">
      <c r="A826" s="869" t="s">
        <v>2151</v>
      </c>
      <c r="B826" s="877">
        <f>'[1]PLAN DE DESARROLLO 2024 - 2027'!$M$4</f>
        <v>0.24028917333263158</v>
      </c>
      <c r="C826" s="869" t="s">
        <v>2154</v>
      </c>
      <c r="D826" s="878">
        <f>'[1]PLAN DE DESARROLLO 2024 - 2027'!$M$11</f>
        <v>0.24196521875000004</v>
      </c>
      <c r="E826" s="869" t="s">
        <v>1603</v>
      </c>
      <c r="F826" s="879">
        <f>[2]Hoja1!$B$7</f>
        <v>0.14335000000000001</v>
      </c>
      <c r="G826" s="869" t="s">
        <v>129</v>
      </c>
      <c r="H826" s="869" t="s">
        <v>130</v>
      </c>
      <c r="I826" s="869"/>
      <c r="J826" s="869" t="s">
        <v>12</v>
      </c>
      <c r="K826" s="880" t="s">
        <v>2264</v>
      </c>
    </row>
    <row r="827" spans="1:11" s="866" customFormat="1" ht="28.8" x14ac:dyDescent="0.3">
      <c r="A827" s="869" t="s">
        <v>2151</v>
      </c>
      <c r="B827" s="877">
        <f>'[1]PLAN DE DESARROLLO 2024 - 2027'!$M$4</f>
        <v>0.24028917333263158</v>
      </c>
      <c r="C827" s="869" t="s">
        <v>2154</v>
      </c>
      <c r="D827" s="878">
        <f>'[1]PLAN DE DESARROLLO 2024 - 2027'!$M$11</f>
        <v>0.24196521875000004</v>
      </c>
      <c r="E827" s="869" t="s">
        <v>1603</v>
      </c>
      <c r="F827" s="879">
        <f>[2]Hoja1!$B$7</f>
        <v>0.14335000000000001</v>
      </c>
      <c r="G827" s="869" t="s">
        <v>131</v>
      </c>
      <c r="H827" s="869" t="s">
        <v>132</v>
      </c>
      <c r="I827" s="869"/>
      <c r="J827" s="869" t="s">
        <v>12</v>
      </c>
      <c r="K827" s="880" t="s">
        <v>2264</v>
      </c>
    </row>
    <row r="828" spans="1:11" s="866" customFormat="1" ht="28.8" x14ac:dyDescent="0.3">
      <c r="A828" s="869" t="s">
        <v>2151</v>
      </c>
      <c r="B828" s="877">
        <f>'[1]PLAN DE DESARROLLO 2024 - 2027'!$M$4</f>
        <v>0.24028917333263158</v>
      </c>
      <c r="C828" s="869" t="s">
        <v>2154</v>
      </c>
      <c r="D828" s="878">
        <f>'[1]PLAN DE DESARROLLO 2024 - 2027'!$M$11</f>
        <v>0.24196521875000004</v>
      </c>
      <c r="E828" s="869" t="s">
        <v>1603</v>
      </c>
      <c r="F828" s="879">
        <f>[2]Hoja1!$B$7</f>
        <v>0.14335000000000001</v>
      </c>
      <c r="G828" s="869" t="s">
        <v>133</v>
      </c>
      <c r="H828" s="869" t="s">
        <v>134</v>
      </c>
      <c r="I828" s="869"/>
      <c r="J828" s="869" t="s">
        <v>12</v>
      </c>
      <c r="K828" s="880" t="s">
        <v>2264</v>
      </c>
    </row>
    <row r="829" spans="1:11" s="866" customFormat="1" ht="28.8" x14ac:dyDescent="0.3">
      <c r="A829" s="869" t="s">
        <v>2151</v>
      </c>
      <c r="B829" s="877">
        <f>'[1]PLAN DE DESARROLLO 2024 - 2027'!$M$4</f>
        <v>0.24028917333263158</v>
      </c>
      <c r="C829" s="869" t="s">
        <v>2154</v>
      </c>
      <c r="D829" s="878">
        <f>'[1]PLAN DE DESARROLLO 2024 - 2027'!$M$11</f>
        <v>0.24196521875000004</v>
      </c>
      <c r="E829" s="869" t="s">
        <v>1603</v>
      </c>
      <c r="F829" s="879">
        <f>[2]Hoja1!$B$7</f>
        <v>0.14335000000000001</v>
      </c>
      <c r="G829" s="869" t="s">
        <v>97</v>
      </c>
      <c r="H829" s="869" t="s">
        <v>98</v>
      </c>
      <c r="I829" s="869"/>
      <c r="J829" s="869" t="s">
        <v>12</v>
      </c>
      <c r="K829" s="880" t="s">
        <v>2264</v>
      </c>
    </row>
    <row r="830" spans="1:11" s="866" customFormat="1" ht="43.2" x14ac:dyDescent="0.3">
      <c r="A830" s="869" t="s">
        <v>2076</v>
      </c>
      <c r="B830" s="881">
        <f>'[1]PLAN DE DESARROLLO 2024 - 2027'!$M$92</f>
        <v>0.25050860314981654</v>
      </c>
      <c r="C830" s="869" t="s">
        <v>2105</v>
      </c>
      <c r="D830" s="878">
        <f>'[1]PLAN DE DESARROLLO 2024 - 2027'!$M$116</f>
        <v>0.21525263088160634</v>
      </c>
      <c r="E830" s="869" t="s">
        <v>2107</v>
      </c>
      <c r="F830" s="879">
        <f>[2]Hoja1!$B$63</f>
        <v>0.1201949616648412</v>
      </c>
      <c r="G830" s="869" t="s">
        <v>775</v>
      </c>
      <c r="H830" s="869" t="s">
        <v>1471</v>
      </c>
      <c r="I830" s="869"/>
      <c r="J830" s="869" t="s">
        <v>767</v>
      </c>
      <c r="K830" s="880" t="s">
        <v>2264</v>
      </c>
    </row>
    <row r="831" spans="1:11" s="866" customFormat="1" ht="43.2" x14ac:dyDescent="0.3">
      <c r="A831" s="869" t="s">
        <v>2076</v>
      </c>
      <c r="B831" s="881">
        <f>'[1]PLAN DE DESARROLLO 2024 - 2027'!$M$92</f>
        <v>0.25050860314981654</v>
      </c>
      <c r="C831" s="869" t="s">
        <v>2105</v>
      </c>
      <c r="D831" s="878">
        <f>'[1]PLAN DE DESARROLLO 2024 - 2027'!$M$116</f>
        <v>0.21525263088160634</v>
      </c>
      <c r="E831" s="869" t="s">
        <v>2107</v>
      </c>
      <c r="F831" s="879">
        <f>[2]Hoja1!$B$63</f>
        <v>0.1201949616648412</v>
      </c>
      <c r="G831" s="869" t="s">
        <v>776</v>
      </c>
      <c r="H831" s="869" t="s">
        <v>1472</v>
      </c>
      <c r="I831" s="869"/>
      <c r="J831" s="869" t="s">
        <v>767</v>
      </c>
      <c r="K831" s="880" t="s">
        <v>2264</v>
      </c>
    </row>
    <row r="832" spans="1:11" s="866" customFormat="1" ht="43.2" x14ac:dyDescent="0.3">
      <c r="A832" s="869" t="s">
        <v>2076</v>
      </c>
      <c r="B832" s="881">
        <f>'[1]PLAN DE DESARROLLO 2024 - 2027'!$M$92</f>
        <v>0.25050860314981654</v>
      </c>
      <c r="C832" s="869" t="s">
        <v>2105</v>
      </c>
      <c r="D832" s="878">
        <f>'[1]PLAN DE DESARROLLO 2024 - 2027'!$M$116</f>
        <v>0.21525263088160634</v>
      </c>
      <c r="E832" s="869" t="s">
        <v>2107</v>
      </c>
      <c r="F832" s="879">
        <f>[2]Hoja1!$B$63</f>
        <v>0.1201949616648412</v>
      </c>
      <c r="G832" s="869" t="s">
        <v>777</v>
      </c>
      <c r="H832" s="869" t="s">
        <v>1473</v>
      </c>
      <c r="I832" s="869"/>
      <c r="J832" s="869" t="s">
        <v>767</v>
      </c>
      <c r="K832" s="880" t="s">
        <v>2264</v>
      </c>
    </row>
    <row r="833" spans="1:11" s="866" customFormat="1" ht="43.2" x14ac:dyDescent="0.3">
      <c r="A833" s="869" t="s">
        <v>2076</v>
      </c>
      <c r="B833" s="881">
        <f>'[1]PLAN DE DESARROLLO 2024 - 2027'!$M$92</f>
        <v>0.25050860314981654</v>
      </c>
      <c r="C833" s="869" t="s">
        <v>2105</v>
      </c>
      <c r="D833" s="878">
        <f>'[1]PLAN DE DESARROLLO 2024 - 2027'!$M$116</f>
        <v>0.21525263088160634</v>
      </c>
      <c r="E833" s="869" t="s">
        <v>2107</v>
      </c>
      <c r="F833" s="879">
        <f>[2]Hoja1!$B$63</f>
        <v>0.1201949616648412</v>
      </c>
      <c r="G833" s="869" t="s">
        <v>778</v>
      </c>
      <c r="H833" s="869" t="s">
        <v>1474</v>
      </c>
      <c r="I833" s="869"/>
      <c r="J833" s="869" t="s">
        <v>767</v>
      </c>
      <c r="K833" s="880" t="s">
        <v>2264</v>
      </c>
    </row>
    <row r="834" spans="1:11" s="866" customFormat="1" ht="43.2" x14ac:dyDescent="0.3">
      <c r="A834" s="869" t="s">
        <v>2076</v>
      </c>
      <c r="B834" s="881">
        <f>'[1]PLAN DE DESARROLLO 2024 - 2027'!$M$92</f>
        <v>0.25050860314981654</v>
      </c>
      <c r="C834" s="869" t="s">
        <v>2105</v>
      </c>
      <c r="D834" s="878">
        <f>'[1]PLAN DE DESARROLLO 2024 - 2027'!$M$116</f>
        <v>0.21525263088160634</v>
      </c>
      <c r="E834" s="869" t="s">
        <v>2107</v>
      </c>
      <c r="F834" s="879">
        <f>[2]Hoja1!$B$63</f>
        <v>0.1201949616648412</v>
      </c>
      <c r="G834" s="869" t="s">
        <v>779</v>
      </c>
      <c r="H834" s="869" t="s">
        <v>1475</v>
      </c>
      <c r="I834" s="869"/>
      <c r="J834" s="869" t="s">
        <v>2108</v>
      </c>
      <c r="K834" s="880" t="s">
        <v>2264</v>
      </c>
    </row>
    <row r="835" spans="1:11" s="866" customFormat="1" ht="43.2" x14ac:dyDescent="0.3">
      <c r="A835" s="869" t="s">
        <v>2076</v>
      </c>
      <c r="B835" s="881">
        <f>'[1]PLAN DE DESARROLLO 2024 - 2027'!$M$92</f>
        <v>0.25050860314981654</v>
      </c>
      <c r="C835" s="869" t="s">
        <v>2105</v>
      </c>
      <c r="D835" s="878">
        <f>'[1]PLAN DE DESARROLLO 2024 - 2027'!$M$116</f>
        <v>0.21525263088160634</v>
      </c>
      <c r="E835" s="869" t="s">
        <v>2107</v>
      </c>
      <c r="F835" s="879">
        <f>[2]Hoja1!$B$63</f>
        <v>0.1201949616648412</v>
      </c>
      <c r="G835" s="869" t="s">
        <v>781</v>
      </c>
      <c r="H835" s="869" t="s">
        <v>1476</v>
      </c>
      <c r="I835" s="869"/>
      <c r="J835" s="869" t="s">
        <v>2109</v>
      </c>
      <c r="K835" s="880" t="s">
        <v>2264</v>
      </c>
    </row>
    <row r="836" spans="1:11" s="866" customFormat="1" ht="28.8" x14ac:dyDescent="0.3">
      <c r="A836" s="869" t="s">
        <v>2076</v>
      </c>
      <c r="B836" s="881">
        <f>'[1]PLAN DE DESARROLLO 2024 - 2027'!$M$92</f>
        <v>0.25050860314981654</v>
      </c>
      <c r="C836" s="869" t="s">
        <v>2105</v>
      </c>
      <c r="D836" s="878">
        <f>'[1]PLAN DE DESARROLLO 2024 - 2027'!$M$116</f>
        <v>0.21525263088160634</v>
      </c>
      <c r="E836" s="869" t="s">
        <v>2106</v>
      </c>
      <c r="F836" s="879">
        <f>[2]Hoja1!$B$92</f>
        <v>0.30715959252971137</v>
      </c>
      <c r="G836" s="869" t="s">
        <v>766</v>
      </c>
      <c r="H836" s="869" t="s">
        <v>1463</v>
      </c>
      <c r="I836" s="869"/>
      <c r="J836" s="869" t="s">
        <v>767</v>
      </c>
      <c r="K836" s="880" t="s">
        <v>2264</v>
      </c>
    </row>
    <row r="837" spans="1:11" s="866" customFormat="1" ht="43.2" x14ac:dyDescent="0.3">
      <c r="A837" s="869" t="s">
        <v>2205</v>
      </c>
      <c r="B837" s="877">
        <f>'[1]PLAN DE DESARROLLO 2024 - 2027'!$M$46</f>
        <v>0.25251661967012345</v>
      </c>
      <c r="C837" s="869" t="s">
        <v>2209</v>
      </c>
      <c r="D837" s="878">
        <f>'[1]PLAN DE DESARROLLO 2024 - 2027'!$M$73</f>
        <v>0.25984040977313172</v>
      </c>
      <c r="E837" s="869" t="s">
        <v>2246</v>
      </c>
      <c r="F837" s="879">
        <f>[2]Hoja1!$B$46</f>
        <v>0.27</v>
      </c>
      <c r="G837" s="869" t="s">
        <v>592</v>
      </c>
      <c r="H837" s="869" t="s">
        <v>593</v>
      </c>
      <c r="I837" s="869"/>
      <c r="J837" s="869" t="s">
        <v>565</v>
      </c>
      <c r="K837" s="880" t="s">
        <v>2264</v>
      </c>
    </row>
    <row r="838" spans="1:11" s="866" customFormat="1" ht="28.8" x14ac:dyDescent="0.3">
      <c r="A838" s="869" t="s">
        <v>2205</v>
      </c>
      <c r="B838" s="877">
        <f>'[1]PLAN DE DESARROLLO 2024 - 2027'!$M$46</f>
        <v>0.25251661967012345</v>
      </c>
      <c r="C838" s="869" t="s">
        <v>2209</v>
      </c>
      <c r="D838" s="878">
        <f>'[1]PLAN DE DESARROLLO 2024 - 2027'!$M$73</f>
        <v>0.25984040977313172</v>
      </c>
      <c r="E838" s="869" t="s">
        <v>2246</v>
      </c>
      <c r="F838" s="879">
        <f>[2]Hoja1!$B$46</f>
        <v>0.27</v>
      </c>
      <c r="G838" s="869" t="s">
        <v>594</v>
      </c>
      <c r="H838" s="869" t="s">
        <v>595</v>
      </c>
      <c r="I838" s="869"/>
      <c r="J838" s="869" t="s">
        <v>565</v>
      </c>
      <c r="K838" s="880" t="s">
        <v>2264</v>
      </c>
    </row>
    <row r="839" spans="1:11" s="866" customFormat="1" ht="43.2" x14ac:dyDescent="0.3">
      <c r="A839" s="869" t="s">
        <v>2205</v>
      </c>
      <c r="B839" s="877">
        <f>'[1]PLAN DE DESARROLLO 2024 - 2027'!$M$46</f>
        <v>0.25251661967012345</v>
      </c>
      <c r="C839" s="869" t="s">
        <v>2209</v>
      </c>
      <c r="D839" s="878">
        <f>'[1]PLAN DE DESARROLLO 2024 - 2027'!$M$73</f>
        <v>0.25984040977313172</v>
      </c>
      <c r="E839" s="869" t="s">
        <v>2246</v>
      </c>
      <c r="F839" s="879">
        <f>[2]Hoja1!$B$46</f>
        <v>0.27</v>
      </c>
      <c r="G839" s="869" t="s">
        <v>596</v>
      </c>
      <c r="H839" s="869" t="s">
        <v>597</v>
      </c>
      <c r="I839" s="869"/>
      <c r="J839" s="869" t="s">
        <v>565</v>
      </c>
      <c r="K839" s="880" t="s">
        <v>2264</v>
      </c>
    </row>
    <row r="840" spans="1:11" s="866" customFormat="1" ht="28.8" x14ac:dyDescent="0.3">
      <c r="A840" s="869" t="s">
        <v>2205</v>
      </c>
      <c r="B840" s="877">
        <f>'[1]PLAN DE DESARROLLO 2024 - 2027'!$M$46</f>
        <v>0.25251661967012345</v>
      </c>
      <c r="C840" s="869" t="s">
        <v>2209</v>
      </c>
      <c r="D840" s="878">
        <f>'[1]PLAN DE DESARROLLO 2024 - 2027'!$M$73</f>
        <v>0.25984040977313172</v>
      </c>
      <c r="E840" s="869" t="s">
        <v>2246</v>
      </c>
      <c r="F840" s="879">
        <f>[2]Hoja1!$B$46</f>
        <v>0.27</v>
      </c>
      <c r="G840" s="869" t="s">
        <v>598</v>
      </c>
      <c r="H840" s="869" t="s">
        <v>599</v>
      </c>
      <c r="I840" s="869"/>
      <c r="J840" s="869" t="s">
        <v>565</v>
      </c>
      <c r="K840" s="880" t="s">
        <v>2264</v>
      </c>
    </row>
    <row r="841" spans="1:11" s="866" customFormat="1" ht="28.8" x14ac:dyDescent="0.3">
      <c r="A841" s="869" t="s">
        <v>2205</v>
      </c>
      <c r="B841" s="877">
        <f>'[1]PLAN DE DESARROLLO 2024 - 2027'!$M$46</f>
        <v>0.25251661967012345</v>
      </c>
      <c r="C841" s="869" t="s">
        <v>2209</v>
      </c>
      <c r="D841" s="878">
        <f>'[1]PLAN DE DESARROLLO 2024 - 2027'!$M$73</f>
        <v>0.25984040977313172</v>
      </c>
      <c r="E841" s="869" t="s">
        <v>2246</v>
      </c>
      <c r="F841" s="879">
        <f>[2]Hoja1!$B$46</f>
        <v>0.27</v>
      </c>
      <c r="G841" s="869" t="s">
        <v>600</v>
      </c>
      <c r="H841" s="869" t="s">
        <v>601</v>
      </c>
      <c r="I841" s="869"/>
      <c r="J841" s="869" t="s">
        <v>565</v>
      </c>
      <c r="K841" s="880" t="s">
        <v>2264</v>
      </c>
    </row>
    <row r="842" spans="1:11" s="866" customFormat="1" ht="28.8" x14ac:dyDescent="0.3">
      <c r="A842" s="869" t="s">
        <v>2205</v>
      </c>
      <c r="B842" s="877">
        <f>'[1]PLAN DE DESARROLLO 2024 - 2027'!$M$46</f>
        <v>0.25251661967012345</v>
      </c>
      <c r="C842" s="869" t="s">
        <v>2209</v>
      </c>
      <c r="D842" s="878">
        <f>'[1]PLAN DE DESARROLLO 2024 - 2027'!$M$73</f>
        <v>0.25984040977313172</v>
      </c>
      <c r="E842" s="869" t="s">
        <v>2243</v>
      </c>
      <c r="F842" s="879">
        <f>[2]Hoja1!$B$60</f>
        <v>0.12517636591043887</v>
      </c>
      <c r="G842" s="869" t="s">
        <v>563</v>
      </c>
      <c r="H842" s="869" t="s">
        <v>564</v>
      </c>
      <c r="I842" s="869"/>
      <c r="J842" s="869" t="s">
        <v>565</v>
      </c>
      <c r="K842" s="880" t="s">
        <v>2264</v>
      </c>
    </row>
    <row r="843" spans="1:11" s="866" customFormat="1" ht="28.8" x14ac:dyDescent="0.3">
      <c r="A843" s="869" t="s">
        <v>2205</v>
      </c>
      <c r="B843" s="877">
        <f>'[1]PLAN DE DESARROLLO 2024 - 2027'!$M$46</f>
        <v>0.25251661967012345</v>
      </c>
      <c r="C843" s="869" t="s">
        <v>2209</v>
      </c>
      <c r="D843" s="878">
        <f>'[1]PLAN DE DESARROLLO 2024 - 2027'!$M$73</f>
        <v>0.25984040977313172</v>
      </c>
      <c r="E843" s="869" t="s">
        <v>2243</v>
      </c>
      <c r="F843" s="879">
        <f>[2]Hoja1!$B$60</f>
        <v>0.12517636591043887</v>
      </c>
      <c r="G843" s="869" t="s">
        <v>566</v>
      </c>
      <c r="H843" s="869" t="s">
        <v>567</v>
      </c>
      <c r="I843" s="869"/>
      <c r="J843" s="869" t="s">
        <v>565</v>
      </c>
      <c r="K843" s="880" t="s">
        <v>2264</v>
      </c>
    </row>
    <row r="844" spans="1:11" s="866" customFormat="1" ht="28.8" x14ac:dyDescent="0.3">
      <c r="A844" s="869" t="s">
        <v>2205</v>
      </c>
      <c r="B844" s="877">
        <f>'[1]PLAN DE DESARROLLO 2024 - 2027'!$M$46</f>
        <v>0.25251661967012345</v>
      </c>
      <c r="C844" s="869" t="s">
        <v>2209</v>
      </c>
      <c r="D844" s="878">
        <f>'[1]PLAN DE DESARROLLO 2024 - 2027'!$M$73</f>
        <v>0.25984040977313172</v>
      </c>
      <c r="E844" s="869" t="s">
        <v>2243</v>
      </c>
      <c r="F844" s="879">
        <f>[2]Hoja1!$B$60</f>
        <v>0.12517636591043887</v>
      </c>
      <c r="G844" s="869" t="s">
        <v>568</v>
      </c>
      <c r="H844" s="869" t="s">
        <v>569</v>
      </c>
      <c r="I844" s="869"/>
      <c r="J844" s="869" t="s">
        <v>565</v>
      </c>
      <c r="K844" s="880" t="s">
        <v>2264</v>
      </c>
    </row>
    <row r="845" spans="1:11" s="866" customFormat="1" ht="28.8" x14ac:dyDescent="0.3">
      <c r="A845" s="869" t="s">
        <v>2205</v>
      </c>
      <c r="B845" s="877">
        <f>'[1]PLAN DE DESARROLLO 2024 - 2027'!$M$46</f>
        <v>0.25251661967012345</v>
      </c>
      <c r="C845" s="869" t="s">
        <v>2209</v>
      </c>
      <c r="D845" s="878">
        <f>'[1]PLAN DE DESARROLLO 2024 - 2027'!$M$73</f>
        <v>0.25984040977313172</v>
      </c>
      <c r="E845" s="869" t="s">
        <v>2243</v>
      </c>
      <c r="F845" s="879">
        <f>[2]Hoja1!$B$60</f>
        <v>0.12517636591043887</v>
      </c>
      <c r="G845" s="869" t="s">
        <v>570</v>
      </c>
      <c r="H845" s="869" t="s">
        <v>571</v>
      </c>
      <c r="I845" s="869"/>
      <c r="J845" s="869" t="s">
        <v>565</v>
      </c>
      <c r="K845" s="880" t="s">
        <v>2264</v>
      </c>
    </row>
    <row r="846" spans="1:11" s="866" customFormat="1" ht="28.8" x14ac:dyDescent="0.3">
      <c r="A846" s="869" t="s">
        <v>2205</v>
      </c>
      <c r="B846" s="877">
        <f>'[1]PLAN DE DESARROLLO 2024 - 2027'!$M$46</f>
        <v>0.25251661967012345</v>
      </c>
      <c r="C846" s="869" t="s">
        <v>2209</v>
      </c>
      <c r="D846" s="878">
        <f>'[1]PLAN DE DESARROLLO 2024 - 2027'!$M$73</f>
        <v>0.25984040977313172</v>
      </c>
      <c r="E846" s="869" t="s">
        <v>2243</v>
      </c>
      <c r="F846" s="879">
        <f>[2]Hoja1!$B$60</f>
        <v>0.12517636591043887</v>
      </c>
      <c r="G846" s="869" t="s">
        <v>572</v>
      </c>
      <c r="H846" s="869" t="s">
        <v>573</v>
      </c>
      <c r="I846" s="869"/>
      <c r="J846" s="869" t="s">
        <v>565</v>
      </c>
      <c r="K846" s="880" t="s">
        <v>2264</v>
      </c>
    </row>
    <row r="847" spans="1:11" s="866" customFormat="1" ht="28.8" x14ac:dyDescent="0.3">
      <c r="A847" s="869" t="s">
        <v>2118</v>
      </c>
      <c r="B847" s="881">
        <f>'[1]PLAN DE DESARROLLO 2024 - 2027'!$M$161</f>
        <v>0.24647581985093744</v>
      </c>
      <c r="C847" s="869" t="s">
        <v>2136</v>
      </c>
      <c r="D847" s="878">
        <f>'[1]PLAN DE DESARROLLO 2024 - 2027'!$M$178</f>
        <v>0.30658085759781617</v>
      </c>
      <c r="E847" s="869" t="s">
        <v>1829</v>
      </c>
      <c r="F847" s="879">
        <f>[2]Hoja1!$B$34</f>
        <v>0.27500000000000002</v>
      </c>
      <c r="G847" s="869" t="s">
        <v>1004</v>
      </c>
      <c r="H847" s="869" t="s">
        <v>1203</v>
      </c>
      <c r="I847" s="869"/>
      <c r="J847" s="869" t="s">
        <v>998</v>
      </c>
      <c r="K847" s="880" t="s">
        <v>2264</v>
      </c>
    </row>
    <row r="848" spans="1:11" s="866" customFormat="1" ht="28.8" x14ac:dyDescent="0.3">
      <c r="A848" s="869" t="s">
        <v>2151</v>
      </c>
      <c r="B848" s="877">
        <f>'[1]PLAN DE DESARROLLO 2024 - 2027'!$M$4</f>
        <v>0.24028917333263158</v>
      </c>
      <c r="C848" s="869" t="s">
        <v>2154</v>
      </c>
      <c r="D848" s="878">
        <f>'[1]PLAN DE DESARROLLO 2024 - 2027'!$M$11</f>
        <v>0.24196521875000004</v>
      </c>
      <c r="E848" s="869" t="s">
        <v>1603</v>
      </c>
      <c r="F848" s="879">
        <f>[2]Hoja1!$B$7</f>
        <v>0.14335000000000001</v>
      </c>
      <c r="G848" s="869" t="s">
        <v>99</v>
      </c>
      <c r="H848" s="869" t="s">
        <v>100</v>
      </c>
      <c r="I848" s="869"/>
      <c r="J848" s="869" t="s">
        <v>12</v>
      </c>
      <c r="K848" s="880" t="s">
        <v>2264</v>
      </c>
    </row>
    <row r="849" spans="1:11" s="866" customFormat="1" ht="43.2" x14ac:dyDescent="0.3">
      <c r="A849" s="869" t="s">
        <v>2151</v>
      </c>
      <c r="B849" s="877">
        <f>'[1]PLAN DE DESARROLLO 2024 - 2027'!$M$4</f>
        <v>0.24028917333263158</v>
      </c>
      <c r="C849" s="869" t="s">
        <v>2154</v>
      </c>
      <c r="D849" s="878">
        <f>'[1]PLAN DE DESARROLLO 2024 - 2027'!$M$11</f>
        <v>0.24196521875000004</v>
      </c>
      <c r="E849" s="869" t="s">
        <v>2204</v>
      </c>
      <c r="F849" s="879">
        <f>[2]Hoja1!$B$8</f>
        <v>0.151</v>
      </c>
      <c r="G849" s="869" t="s">
        <v>89</v>
      </c>
      <c r="H849" s="869" t="s">
        <v>90</v>
      </c>
      <c r="I849" s="869"/>
      <c r="J849" s="869" t="s">
        <v>12</v>
      </c>
      <c r="K849" s="880" t="s">
        <v>2264</v>
      </c>
    </row>
    <row r="850" spans="1:11" s="866" customFormat="1" ht="28.8" x14ac:dyDescent="0.3">
      <c r="A850" s="869" t="s">
        <v>2151</v>
      </c>
      <c r="B850" s="877">
        <f>'[1]PLAN DE DESARROLLO 2024 - 2027'!$M$4</f>
        <v>0.24028917333263158</v>
      </c>
      <c r="C850" s="869" t="s">
        <v>2154</v>
      </c>
      <c r="D850" s="878">
        <f>'[1]PLAN DE DESARROLLO 2024 - 2027'!$M$11</f>
        <v>0.24196521875000004</v>
      </c>
      <c r="E850" s="869" t="s">
        <v>2204</v>
      </c>
      <c r="F850" s="879">
        <f>[2]Hoja1!$B$8</f>
        <v>0.151</v>
      </c>
      <c r="G850" s="869" t="s">
        <v>91</v>
      </c>
      <c r="H850" s="869" t="s">
        <v>92</v>
      </c>
      <c r="I850" s="869"/>
      <c r="J850" s="869" t="s">
        <v>12</v>
      </c>
      <c r="K850" s="880" t="s">
        <v>2264</v>
      </c>
    </row>
    <row r="851" spans="1:11" s="866" customFormat="1" ht="43.2" x14ac:dyDescent="0.3">
      <c r="A851" s="869" t="s">
        <v>2151</v>
      </c>
      <c r="B851" s="877">
        <f>'[1]PLAN DE DESARROLLO 2024 - 2027'!$M$4</f>
        <v>0.24028917333263158</v>
      </c>
      <c r="C851" s="869" t="s">
        <v>2154</v>
      </c>
      <c r="D851" s="878">
        <f>'[1]PLAN DE DESARROLLO 2024 - 2027'!$M$11</f>
        <v>0.24196521875000004</v>
      </c>
      <c r="E851" s="869" t="s">
        <v>2204</v>
      </c>
      <c r="F851" s="879">
        <f>[2]Hoja1!$B$8</f>
        <v>0.151</v>
      </c>
      <c r="G851" s="869" t="s">
        <v>93</v>
      </c>
      <c r="H851" s="869" t="s">
        <v>94</v>
      </c>
      <c r="I851" s="869"/>
      <c r="J851" s="869" t="s">
        <v>12</v>
      </c>
      <c r="K851" s="880" t="s">
        <v>2264</v>
      </c>
    </row>
    <row r="852" spans="1:11" s="866" customFormat="1" ht="28.8" x14ac:dyDescent="0.3">
      <c r="A852" s="869" t="s">
        <v>2118</v>
      </c>
      <c r="B852" s="881">
        <f>'[1]PLAN DE DESARROLLO 2024 - 2027'!$M$161</f>
        <v>0.24647581985093744</v>
      </c>
      <c r="C852" s="869" t="s">
        <v>2142</v>
      </c>
      <c r="D852" s="878">
        <f>'[1]PLAN DE DESARROLLO 2024 - 2027'!$M$191</f>
        <v>0.22981556695992181</v>
      </c>
      <c r="E852" s="869" t="s">
        <v>2143</v>
      </c>
      <c r="F852" s="879">
        <f>[2]Hoja1!$B$36</f>
        <v>1.1966666666666668</v>
      </c>
      <c r="G852" s="869" t="s">
        <v>1038</v>
      </c>
      <c r="H852" s="869" t="s">
        <v>1235</v>
      </c>
      <c r="I852" s="869"/>
      <c r="J852" s="869" t="s">
        <v>560</v>
      </c>
      <c r="K852" s="880" t="s">
        <v>2264</v>
      </c>
    </row>
    <row r="853" spans="1:11" s="866" customFormat="1" ht="28.8" x14ac:dyDescent="0.3">
      <c r="A853" s="869" t="s">
        <v>2118</v>
      </c>
      <c r="B853" s="881">
        <f>'[1]PLAN DE DESARROLLO 2024 - 2027'!$M$161</f>
        <v>0.24647581985093744</v>
      </c>
      <c r="C853" s="869" t="s">
        <v>2142</v>
      </c>
      <c r="D853" s="878">
        <f>'[1]PLAN DE DESARROLLO 2024 - 2027'!$M$191</f>
        <v>0.22981556695992181</v>
      </c>
      <c r="E853" s="869" t="s">
        <v>2143</v>
      </c>
      <c r="F853" s="879">
        <f>[2]Hoja1!$B$36</f>
        <v>1.1966666666666668</v>
      </c>
      <c r="G853" s="869" t="s">
        <v>1039</v>
      </c>
      <c r="H853" s="869" t="s">
        <v>1236</v>
      </c>
      <c r="I853" s="869"/>
      <c r="J853" s="869" t="s">
        <v>560</v>
      </c>
      <c r="K853" s="880" t="s">
        <v>2264</v>
      </c>
    </row>
    <row r="854" spans="1:11" s="866" customFormat="1" ht="28.8" x14ac:dyDescent="0.3">
      <c r="A854" s="869" t="s">
        <v>2118</v>
      </c>
      <c r="B854" s="881">
        <f>'[1]PLAN DE DESARROLLO 2024 - 2027'!$M$161</f>
        <v>0.24647581985093744</v>
      </c>
      <c r="C854" s="869" t="s">
        <v>2142</v>
      </c>
      <c r="D854" s="878">
        <f>'[1]PLAN DE DESARROLLO 2024 - 2027'!$M$191</f>
        <v>0.22981556695992181</v>
      </c>
      <c r="E854" s="869" t="s">
        <v>2143</v>
      </c>
      <c r="F854" s="879">
        <f>[2]Hoja1!$B$36</f>
        <v>1.1966666666666668</v>
      </c>
      <c r="G854" s="869" t="s">
        <v>1040</v>
      </c>
      <c r="H854" s="869" t="s">
        <v>1237</v>
      </c>
      <c r="I854" s="869"/>
      <c r="J854" s="869" t="s">
        <v>560</v>
      </c>
      <c r="K854" s="880" t="s">
        <v>2264</v>
      </c>
    </row>
    <row r="855" spans="1:11" s="866" customFormat="1" ht="28.8" x14ac:dyDescent="0.3">
      <c r="A855" s="869" t="s">
        <v>2118</v>
      </c>
      <c r="B855" s="881">
        <f>'[1]PLAN DE DESARROLLO 2024 - 2027'!$M$161</f>
        <v>0.24647581985093744</v>
      </c>
      <c r="C855" s="869" t="s">
        <v>2142</v>
      </c>
      <c r="D855" s="878">
        <f>'[1]PLAN DE DESARROLLO 2024 - 2027'!$M$191</f>
        <v>0.22981556695992181</v>
      </c>
      <c r="E855" s="869" t="s">
        <v>2143</v>
      </c>
      <c r="F855" s="879">
        <f>[2]Hoja1!$B$36</f>
        <v>1.1966666666666668</v>
      </c>
      <c r="G855" s="869" t="s">
        <v>1041</v>
      </c>
      <c r="H855" s="869" t="s">
        <v>1238</v>
      </c>
      <c r="I855" s="869"/>
      <c r="J855" s="869" t="s">
        <v>560</v>
      </c>
      <c r="K855" s="880" t="s">
        <v>2264</v>
      </c>
    </row>
    <row r="856" spans="1:11" s="866" customFormat="1" ht="28.8" x14ac:dyDescent="0.3">
      <c r="A856" s="869" t="s">
        <v>2118</v>
      </c>
      <c r="B856" s="881">
        <f>'[1]PLAN DE DESARROLLO 2024 - 2027'!$M$161</f>
        <v>0.24647581985093744</v>
      </c>
      <c r="C856" s="869" t="s">
        <v>2142</v>
      </c>
      <c r="D856" s="878">
        <f>'[1]PLAN DE DESARROLLO 2024 - 2027'!$M$191</f>
        <v>0.22981556695992181</v>
      </c>
      <c r="E856" s="869" t="s">
        <v>2143</v>
      </c>
      <c r="F856" s="879">
        <f>[2]Hoja1!$B$36</f>
        <v>1.1966666666666668</v>
      </c>
      <c r="G856" s="869" t="s">
        <v>1042</v>
      </c>
      <c r="H856" s="869" t="s">
        <v>1239</v>
      </c>
      <c r="I856" s="869"/>
      <c r="J856" s="869" t="s">
        <v>560</v>
      </c>
      <c r="K856" s="880" t="s">
        <v>2264</v>
      </c>
    </row>
    <row r="857" spans="1:11" s="866" customFormat="1" ht="28.8" x14ac:dyDescent="0.3">
      <c r="A857" s="869" t="s">
        <v>2118</v>
      </c>
      <c r="B857" s="881">
        <f>'[1]PLAN DE DESARROLLO 2024 - 2027'!$M$161</f>
        <v>0.24647581985093744</v>
      </c>
      <c r="C857" s="869" t="s">
        <v>2136</v>
      </c>
      <c r="D857" s="878">
        <f>'[1]PLAN DE DESARROLLO 2024 - 2027'!$M$178</f>
        <v>0.30658085759781617</v>
      </c>
      <c r="E857" s="869" t="s">
        <v>1828</v>
      </c>
      <c r="F857" s="879">
        <f>[2]Hoja1!$B$37</f>
        <v>0.36899999999999999</v>
      </c>
      <c r="G857" s="869" t="s">
        <v>1000</v>
      </c>
      <c r="H857" s="869" t="s">
        <v>1199</v>
      </c>
      <c r="I857" s="869"/>
      <c r="J857" s="869" t="s">
        <v>998</v>
      </c>
      <c r="K857" s="880" t="s">
        <v>2264</v>
      </c>
    </row>
    <row r="858" spans="1:11" s="866" customFormat="1" ht="28.8" x14ac:dyDescent="0.3">
      <c r="A858" s="869" t="s">
        <v>2118</v>
      </c>
      <c r="B858" s="881">
        <f>'[1]PLAN DE DESARROLLO 2024 - 2027'!$M$161</f>
        <v>0.24647581985093744</v>
      </c>
      <c r="C858" s="869" t="s">
        <v>2136</v>
      </c>
      <c r="D858" s="878">
        <f>'[1]PLAN DE DESARROLLO 2024 - 2027'!$M$178</f>
        <v>0.30658085759781617</v>
      </c>
      <c r="E858" s="869" t="s">
        <v>1828</v>
      </c>
      <c r="F858" s="879">
        <f>[2]Hoja1!$B$37</f>
        <v>0.36899999999999999</v>
      </c>
      <c r="G858" s="869" t="s">
        <v>1001</v>
      </c>
      <c r="H858" s="869" t="s">
        <v>1200</v>
      </c>
      <c r="I858" s="869"/>
      <c r="J858" s="869" t="s">
        <v>998</v>
      </c>
      <c r="K858" s="880" t="s">
        <v>2264</v>
      </c>
    </row>
    <row r="859" spans="1:11" s="866" customFormat="1" ht="43.2" x14ac:dyDescent="0.3">
      <c r="A859" s="869" t="s">
        <v>2118</v>
      </c>
      <c r="B859" s="881">
        <f>'[1]PLAN DE DESARROLLO 2024 - 2027'!$M$161</f>
        <v>0.24647581985093744</v>
      </c>
      <c r="C859" s="869" t="s">
        <v>2136</v>
      </c>
      <c r="D859" s="878">
        <f>'[1]PLAN DE DESARROLLO 2024 - 2027'!$M$178</f>
        <v>0.30658085759781617</v>
      </c>
      <c r="E859" s="869" t="s">
        <v>1828</v>
      </c>
      <c r="F859" s="879">
        <f>[2]Hoja1!$B$37</f>
        <v>0.36899999999999999</v>
      </c>
      <c r="G859" s="869" t="s">
        <v>1002</v>
      </c>
      <c r="H859" s="869" t="s">
        <v>1201</v>
      </c>
      <c r="I859" s="869"/>
      <c r="J859" s="869" t="s">
        <v>998</v>
      </c>
      <c r="K859" s="880" t="s">
        <v>2264</v>
      </c>
    </row>
    <row r="860" spans="1:11" s="866" customFormat="1" ht="28.8" x14ac:dyDescent="0.3">
      <c r="A860" s="869" t="s">
        <v>2118</v>
      </c>
      <c r="B860" s="881">
        <f>'[1]PLAN DE DESARROLLO 2024 - 2027'!$M$161</f>
        <v>0.24647581985093744</v>
      </c>
      <c r="C860" s="869" t="s">
        <v>2136</v>
      </c>
      <c r="D860" s="878">
        <f>'[1]PLAN DE DESARROLLO 2024 - 2027'!$M$178</f>
        <v>0.30658085759781617</v>
      </c>
      <c r="E860" s="869" t="s">
        <v>1828</v>
      </c>
      <c r="F860" s="879">
        <f>[2]Hoja1!$B$37</f>
        <v>0.36899999999999999</v>
      </c>
      <c r="G860" s="869" t="s">
        <v>1003</v>
      </c>
      <c r="H860" s="869" t="s">
        <v>1202</v>
      </c>
      <c r="I860" s="869"/>
      <c r="J860" s="869" t="s">
        <v>998</v>
      </c>
      <c r="K860" s="880" t="s">
        <v>2264</v>
      </c>
    </row>
    <row r="861" spans="1:11" s="866" customFormat="1" ht="28.8" x14ac:dyDescent="0.3">
      <c r="A861" s="869" t="s">
        <v>2151</v>
      </c>
      <c r="B861" s="877">
        <f>'[1]PLAN DE DESARROLLO 2024 - 2027'!$M$4</f>
        <v>0.24028917333263158</v>
      </c>
      <c r="C861" s="869" t="s">
        <v>2154</v>
      </c>
      <c r="D861" s="878">
        <f>'[1]PLAN DE DESARROLLO 2024 - 2027'!$M$11</f>
        <v>0.24196521875000004</v>
      </c>
      <c r="E861" s="869" t="s">
        <v>2204</v>
      </c>
      <c r="F861" s="879">
        <f>[2]Hoja1!$B$8</f>
        <v>0.151</v>
      </c>
      <c r="G861" s="869" t="s">
        <v>95</v>
      </c>
      <c r="H861" s="869" t="s">
        <v>96</v>
      </c>
      <c r="I861" s="869"/>
      <c r="J861" s="869" t="s">
        <v>12</v>
      </c>
      <c r="K861" s="880" t="s">
        <v>2264</v>
      </c>
    </row>
    <row r="862" spans="1:11" s="866" customFormat="1" ht="28.8" x14ac:dyDescent="0.3">
      <c r="A862" s="869" t="s">
        <v>2151</v>
      </c>
      <c r="B862" s="877">
        <f>'[1]PLAN DE DESARROLLO 2024 - 2027'!$M$4</f>
        <v>0.24028917333263158</v>
      </c>
      <c r="C862" s="869" t="s">
        <v>2154</v>
      </c>
      <c r="D862" s="878">
        <f>'[1]PLAN DE DESARROLLO 2024 - 2027'!$M$11</f>
        <v>0.24196521875000004</v>
      </c>
      <c r="E862" s="869" t="s">
        <v>2203</v>
      </c>
      <c r="F862" s="879">
        <f>[2]Hoja1!$B$17</f>
        <v>6.6166666666666665E-2</v>
      </c>
      <c r="G862" s="869" t="s">
        <v>75</v>
      </c>
      <c r="H862" s="869" t="s">
        <v>76</v>
      </c>
      <c r="I862" s="869"/>
      <c r="J862" s="869" t="s">
        <v>12</v>
      </c>
      <c r="K862" s="880" t="s">
        <v>2264</v>
      </c>
    </row>
    <row r="863" spans="1:11" s="866" customFormat="1" ht="28.8" x14ac:dyDescent="0.3">
      <c r="A863" s="869" t="s">
        <v>2151</v>
      </c>
      <c r="B863" s="877">
        <f>'[1]PLAN DE DESARROLLO 2024 - 2027'!$M$4</f>
        <v>0.24028917333263158</v>
      </c>
      <c r="C863" s="869" t="s">
        <v>2154</v>
      </c>
      <c r="D863" s="878">
        <f>'[1]PLAN DE DESARROLLO 2024 - 2027'!$M$11</f>
        <v>0.24196521875000004</v>
      </c>
      <c r="E863" s="869" t="s">
        <v>2203</v>
      </c>
      <c r="F863" s="879">
        <f>[2]Hoja1!$B$17</f>
        <v>6.6166666666666665E-2</v>
      </c>
      <c r="G863" s="869" t="s">
        <v>77</v>
      </c>
      <c r="H863" s="869" t="s">
        <v>78</v>
      </c>
      <c r="I863" s="869"/>
      <c r="J863" s="869" t="s">
        <v>12</v>
      </c>
      <c r="K863" s="880" t="s">
        <v>2264</v>
      </c>
    </row>
    <row r="864" spans="1:11" s="866" customFormat="1" ht="28.8" x14ac:dyDescent="0.3">
      <c r="A864" s="869" t="s">
        <v>2151</v>
      </c>
      <c r="B864" s="877">
        <f>'[1]PLAN DE DESARROLLO 2024 - 2027'!$M$4</f>
        <v>0.24028917333263158</v>
      </c>
      <c r="C864" s="869" t="s">
        <v>2154</v>
      </c>
      <c r="D864" s="878">
        <f>'[1]PLAN DE DESARROLLO 2024 - 2027'!$M$11</f>
        <v>0.24196521875000004</v>
      </c>
      <c r="E864" s="869" t="s">
        <v>2203</v>
      </c>
      <c r="F864" s="879">
        <f>[2]Hoja1!$B$17</f>
        <v>6.6166666666666665E-2</v>
      </c>
      <c r="G864" s="869" t="s">
        <v>79</v>
      </c>
      <c r="H864" s="869" t="s">
        <v>80</v>
      </c>
      <c r="I864" s="869"/>
      <c r="J864" s="869" t="s">
        <v>12</v>
      </c>
      <c r="K864" s="880" t="s">
        <v>2264</v>
      </c>
    </row>
    <row r="865" spans="1:11" s="866" customFormat="1" ht="28.8" x14ac:dyDescent="0.3">
      <c r="A865" s="869" t="s">
        <v>2025</v>
      </c>
      <c r="B865" s="881">
        <f>'[1]PLAN DE DESARROLLO 2024 - 2027'!$M$123</f>
        <v>0.20174333228533195</v>
      </c>
      <c r="C865" s="869" t="s">
        <v>2062</v>
      </c>
      <c r="D865" s="878">
        <f>'[1]PLAN DE DESARROLLO 2024 - 2027'!$M$136</f>
        <v>0.3779372351486594</v>
      </c>
      <c r="E865" s="869" t="s">
        <v>1809</v>
      </c>
      <c r="F865" s="879">
        <f>[2]Hoja1!$B$135</f>
        <v>0.62548089591567846</v>
      </c>
      <c r="G865" s="869" t="s">
        <v>858</v>
      </c>
      <c r="H865" s="869" t="s">
        <v>1312</v>
      </c>
      <c r="I865" s="869"/>
      <c r="J865" s="869" t="s">
        <v>825</v>
      </c>
      <c r="K865" s="880" t="s">
        <v>2264</v>
      </c>
    </row>
    <row r="866" spans="1:11" s="866" customFormat="1" ht="28.8" x14ac:dyDescent="0.3">
      <c r="A866" s="869" t="s">
        <v>2025</v>
      </c>
      <c r="B866" s="881">
        <f>'[1]PLAN DE DESARROLLO 2024 - 2027'!$M$123</f>
        <v>0.20174333228533195</v>
      </c>
      <c r="C866" s="869" t="s">
        <v>2055</v>
      </c>
      <c r="D866" s="878">
        <f>'[1]PLAN DE DESARROLLO 2024 - 2027'!$M$130</f>
        <v>9.8146749999999991E-2</v>
      </c>
      <c r="E866" s="869" t="s">
        <v>2060</v>
      </c>
      <c r="F866" s="879">
        <f>[2]Hoja1!$B$5</f>
        <v>0.14800000000000002</v>
      </c>
      <c r="G866" s="869" t="s">
        <v>842</v>
      </c>
      <c r="H866" s="869" t="s">
        <v>1298</v>
      </c>
      <c r="I866" s="869"/>
      <c r="J866" s="869" t="s">
        <v>698</v>
      </c>
      <c r="K866" s="880" t="s">
        <v>2264</v>
      </c>
    </row>
    <row r="867" spans="1:11" s="866" customFormat="1" ht="28.8" x14ac:dyDescent="0.3">
      <c r="A867" s="869" t="s">
        <v>2025</v>
      </c>
      <c r="B867" s="881">
        <f>'[1]PLAN DE DESARROLLO 2024 - 2027'!$M$123</f>
        <v>0.20174333228533195</v>
      </c>
      <c r="C867" s="869" t="s">
        <v>2055</v>
      </c>
      <c r="D867" s="878">
        <f>'[1]PLAN DE DESARROLLO 2024 - 2027'!$M$130</f>
        <v>9.8146749999999991E-2</v>
      </c>
      <c r="E867" s="869" t="s">
        <v>2060</v>
      </c>
      <c r="F867" s="879">
        <f>[2]Hoja1!$B$5</f>
        <v>0.14800000000000002</v>
      </c>
      <c r="G867" s="869" t="s">
        <v>843</v>
      </c>
      <c r="H867" s="869" t="s">
        <v>1299</v>
      </c>
      <c r="I867" s="869"/>
      <c r="J867" s="869" t="s">
        <v>698</v>
      </c>
      <c r="K867" s="880" t="s">
        <v>2264</v>
      </c>
    </row>
    <row r="868" spans="1:11" s="866" customFormat="1" ht="43.2" x14ac:dyDescent="0.3">
      <c r="A868" s="869" t="s">
        <v>2025</v>
      </c>
      <c r="B868" s="881">
        <f>'[1]PLAN DE DESARROLLO 2024 - 2027'!$M$123</f>
        <v>0.20174333228533195</v>
      </c>
      <c r="C868" s="869" t="s">
        <v>2055</v>
      </c>
      <c r="D868" s="878">
        <f>'[1]PLAN DE DESARROLLO 2024 - 2027'!$M$130</f>
        <v>9.8146749999999991E-2</v>
      </c>
      <c r="E868" s="869" t="s">
        <v>2056</v>
      </c>
      <c r="F868" s="879">
        <f>[2]Hoja1!$B$20</f>
        <v>3.3340000000000002E-2</v>
      </c>
      <c r="G868" s="869" t="s">
        <v>830</v>
      </c>
      <c r="H868" s="869" t="s">
        <v>1288</v>
      </c>
      <c r="I868" s="869"/>
      <c r="J868" s="869" t="s">
        <v>767</v>
      </c>
      <c r="K868" s="880" t="s">
        <v>2264</v>
      </c>
    </row>
    <row r="869" spans="1:11" s="866" customFormat="1" ht="28.8" x14ac:dyDescent="0.3">
      <c r="A869" s="869" t="s">
        <v>2025</v>
      </c>
      <c r="B869" s="881">
        <f>'[1]PLAN DE DESARROLLO 2024 - 2027'!$M$123</f>
        <v>0.20174333228533195</v>
      </c>
      <c r="C869" s="869" t="s">
        <v>2055</v>
      </c>
      <c r="D869" s="878">
        <f>'[1]PLAN DE DESARROLLO 2024 - 2027'!$M$130</f>
        <v>9.8146749999999991E-2</v>
      </c>
      <c r="E869" s="869" t="s">
        <v>2056</v>
      </c>
      <c r="F869" s="879">
        <f>[2]Hoja1!$B$20</f>
        <v>3.3340000000000002E-2</v>
      </c>
      <c r="G869" s="869" t="s">
        <v>831</v>
      </c>
      <c r="H869" s="869" t="s">
        <v>1289</v>
      </c>
      <c r="I869" s="869"/>
      <c r="J869" s="869" t="s">
        <v>767</v>
      </c>
      <c r="K869" s="880" t="s">
        <v>2264</v>
      </c>
    </row>
    <row r="870" spans="1:11" s="866" customFormat="1" ht="28.8" x14ac:dyDescent="0.3">
      <c r="A870" s="869" t="s">
        <v>2025</v>
      </c>
      <c r="B870" s="881">
        <f>'[1]PLAN DE DESARROLLO 2024 - 2027'!$M$123</f>
        <v>0.20174333228533195</v>
      </c>
      <c r="C870" s="869" t="s">
        <v>2055</v>
      </c>
      <c r="D870" s="878">
        <f>'[1]PLAN DE DESARROLLO 2024 - 2027'!$M$130</f>
        <v>9.8146749999999991E-2</v>
      </c>
      <c r="E870" s="869" t="s">
        <v>2056</v>
      </c>
      <c r="F870" s="879">
        <f>[2]Hoja1!$B$20</f>
        <v>3.3340000000000002E-2</v>
      </c>
      <c r="G870" s="869" t="s">
        <v>832</v>
      </c>
      <c r="H870" s="869" t="s">
        <v>1290</v>
      </c>
      <c r="I870" s="869"/>
      <c r="J870" s="869" t="s">
        <v>767</v>
      </c>
      <c r="K870" s="880" t="s">
        <v>2264</v>
      </c>
    </row>
    <row r="871" spans="1:11" s="866" customFormat="1" x14ac:dyDescent="0.3">
      <c r="A871" s="869" t="s">
        <v>2025</v>
      </c>
      <c r="B871" s="881">
        <f>'[1]PLAN DE DESARROLLO 2024 - 2027'!$M$123</f>
        <v>0.20174333228533195</v>
      </c>
      <c r="C871" s="869" t="s">
        <v>2055</v>
      </c>
      <c r="D871" s="878">
        <f>'[1]PLAN DE DESARROLLO 2024 - 2027'!$M$130</f>
        <v>9.8146749999999991E-2</v>
      </c>
      <c r="E871" s="869" t="s">
        <v>2056</v>
      </c>
      <c r="F871" s="879">
        <f>[2]Hoja1!$B$20</f>
        <v>3.3340000000000002E-2</v>
      </c>
      <c r="G871" s="869" t="s">
        <v>833</v>
      </c>
      <c r="H871" s="869" t="s">
        <v>1291</v>
      </c>
      <c r="I871" s="869"/>
      <c r="J871" s="869" t="s">
        <v>767</v>
      </c>
      <c r="K871" s="880" t="s">
        <v>2264</v>
      </c>
    </row>
    <row r="872" spans="1:11" s="866" customFormat="1" ht="28.8" x14ac:dyDescent="0.3">
      <c r="A872" s="869" t="s">
        <v>2076</v>
      </c>
      <c r="B872" s="881">
        <f>'[1]PLAN DE DESARROLLO 2024 - 2027'!$M$92</f>
        <v>0.25050860314981654</v>
      </c>
      <c r="C872" s="869" t="s">
        <v>2105</v>
      </c>
      <c r="D872" s="878">
        <f>'[1]PLAN DE DESARROLLO 2024 - 2027'!$M$116</f>
        <v>0.21525263088160634</v>
      </c>
      <c r="E872" s="869" t="s">
        <v>2106</v>
      </c>
      <c r="F872" s="879">
        <f>[2]Hoja1!$B$92</f>
        <v>0.30715959252971137</v>
      </c>
      <c r="G872" s="869" t="s">
        <v>768</v>
      </c>
      <c r="H872" s="869" t="s">
        <v>1464</v>
      </c>
      <c r="I872" s="869"/>
      <c r="J872" s="869" t="s">
        <v>767</v>
      </c>
      <c r="K872" s="880" t="s">
        <v>2264</v>
      </c>
    </row>
    <row r="873" spans="1:11" s="866" customFormat="1" ht="28.8" x14ac:dyDescent="0.3">
      <c r="A873" s="869" t="s">
        <v>2076</v>
      </c>
      <c r="B873" s="881">
        <f>'[1]PLAN DE DESARROLLO 2024 - 2027'!$M$92</f>
        <v>0.25050860314981654</v>
      </c>
      <c r="C873" s="869" t="s">
        <v>2105</v>
      </c>
      <c r="D873" s="878">
        <f>'[1]PLAN DE DESARROLLO 2024 - 2027'!$M$116</f>
        <v>0.21525263088160634</v>
      </c>
      <c r="E873" s="869" t="s">
        <v>2106</v>
      </c>
      <c r="F873" s="879">
        <f>[2]Hoja1!$B$92</f>
        <v>0.30715959252971137</v>
      </c>
      <c r="G873" s="869" t="s">
        <v>769</v>
      </c>
      <c r="H873" s="869" t="s">
        <v>1465</v>
      </c>
      <c r="I873" s="869"/>
      <c r="J873" s="869" t="s">
        <v>767</v>
      </c>
      <c r="K873" s="880" t="s">
        <v>2264</v>
      </c>
    </row>
    <row r="874" spans="1:11" s="866" customFormat="1" ht="28.8" x14ac:dyDescent="0.3">
      <c r="A874" s="869" t="s">
        <v>2205</v>
      </c>
      <c r="B874" s="877">
        <f>'[1]PLAN DE DESARROLLO 2024 - 2027'!$M$46</f>
        <v>0.25251661967012345</v>
      </c>
      <c r="C874" s="869" t="s">
        <v>2209</v>
      </c>
      <c r="D874" s="878">
        <f>'[1]PLAN DE DESARROLLO 2024 - 2027'!$M$73</f>
        <v>0.25984040977313172</v>
      </c>
      <c r="E874" s="869" t="s">
        <v>2243</v>
      </c>
      <c r="F874" s="879">
        <f>[2]Hoja1!$B$60</f>
        <v>0.12517636591043887</v>
      </c>
      <c r="G874" s="869" t="s">
        <v>574</v>
      </c>
      <c r="H874" s="869" t="s">
        <v>575</v>
      </c>
      <c r="I874" s="869"/>
      <c r="J874" s="869" t="s">
        <v>565</v>
      </c>
      <c r="K874" s="880" t="s">
        <v>2264</v>
      </c>
    </row>
    <row r="875" spans="1:11" s="866" customFormat="1" ht="28.8" x14ac:dyDescent="0.3">
      <c r="A875" s="869" t="s">
        <v>2205</v>
      </c>
      <c r="B875" s="877">
        <f>'[1]PLAN DE DESARROLLO 2024 - 2027'!$M$46</f>
        <v>0.25251661967012345</v>
      </c>
      <c r="C875" s="869" t="s">
        <v>2209</v>
      </c>
      <c r="D875" s="878">
        <f>'[1]PLAN DE DESARROLLO 2024 - 2027'!$M$73</f>
        <v>0.25984040977313172</v>
      </c>
      <c r="E875" s="869" t="s">
        <v>2243</v>
      </c>
      <c r="F875" s="879">
        <f>[2]Hoja1!$B$60</f>
        <v>0.12517636591043887</v>
      </c>
      <c r="G875" s="869" t="s">
        <v>576</v>
      </c>
      <c r="H875" s="869" t="s">
        <v>577</v>
      </c>
      <c r="I875" s="869"/>
      <c r="J875" s="869" t="s">
        <v>565</v>
      </c>
      <c r="K875" s="880" t="s">
        <v>2264</v>
      </c>
    </row>
    <row r="876" spans="1:11" s="866" customFormat="1" ht="28.8" x14ac:dyDescent="0.3">
      <c r="A876" s="869" t="s">
        <v>2205</v>
      </c>
      <c r="B876" s="877">
        <f>'[1]PLAN DE DESARROLLO 2024 - 2027'!$M$46</f>
        <v>0.25251661967012345</v>
      </c>
      <c r="C876" s="869" t="s">
        <v>2209</v>
      </c>
      <c r="D876" s="878">
        <f>'[1]PLAN DE DESARROLLO 2024 - 2027'!$M$73</f>
        <v>0.25984040977313172</v>
      </c>
      <c r="E876" s="869" t="s">
        <v>2243</v>
      </c>
      <c r="F876" s="879">
        <f>[2]Hoja1!$B$60</f>
        <v>0.12517636591043887</v>
      </c>
      <c r="G876" s="869" t="s">
        <v>578</v>
      </c>
      <c r="H876" s="869" t="s">
        <v>579</v>
      </c>
      <c r="I876" s="869"/>
      <c r="J876" s="869" t="s">
        <v>565</v>
      </c>
      <c r="K876" s="880" t="s">
        <v>2264</v>
      </c>
    </row>
    <row r="877" spans="1:11" s="866" customFormat="1" ht="28.8" x14ac:dyDescent="0.3">
      <c r="A877" s="869" t="s">
        <v>2205</v>
      </c>
      <c r="B877" s="877">
        <f>'[1]PLAN DE DESARROLLO 2024 - 2027'!$M$46</f>
        <v>0.25251661967012345</v>
      </c>
      <c r="C877" s="869" t="s">
        <v>2209</v>
      </c>
      <c r="D877" s="878">
        <f>'[1]PLAN DE DESARROLLO 2024 - 2027'!$M$73</f>
        <v>0.25984040977313172</v>
      </c>
      <c r="E877" s="869" t="s">
        <v>2245</v>
      </c>
      <c r="F877" s="879">
        <f>[2]Hoja1!$B$66</f>
        <v>0.34112500000000001</v>
      </c>
      <c r="G877" s="869" t="s">
        <v>588</v>
      </c>
      <c r="H877" s="869" t="s">
        <v>589</v>
      </c>
      <c r="I877" s="869"/>
      <c r="J877" s="869" t="s">
        <v>565</v>
      </c>
      <c r="K877" s="880" t="s">
        <v>2264</v>
      </c>
    </row>
    <row r="878" spans="1:11" s="866" customFormat="1" ht="28.8" x14ac:dyDescent="0.3">
      <c r="A878" s="869" t="s">
        <v>2118</v>
      </c>
      <c r="B878" s="881">
        <f>'[1]PLAN DE DESARROLLO 2024 - 2027'!$M$161</f>
        <v>0.24647581985093744</v>
      </c>
      <c r="C878" s="869" t="s">
        <v>2126</v>
      </c>
      <c r="D878" s="878">
        <f>'[1]PLAN DE DESARROLLO 2024 - 2027'!$M$184</f>
        <v>0.18265127235728812</v>
      </c>
      <c r="E878" s="869" t="s">
        <v>2141</v>
      </c>
      <c r="F878" s="879">
        <f>[2]Hoja1!$B$43</f>
        <v>7.6466666666666683E-2</v>
      </c>
      <c r="G878" s="869" t="s">
        <v>1035</v>
      </c>
      <c r="H878" s="869" t="s">
        <v>1232</v>
      </c>
      <c r="I878" s="869"/>
      <c r="J878" s="869" t="s">
        <v>58</v>
      </c>
      <c r="K878" s="880" t="s">
        <v>2264</v>
      </c>
    </row>
    <row r="879" spans="1:11" s="866" customFormat="1" ht="28.8" x14ac:dyDescent="0.3">
      <c r="A879" s="869" t="s">
        <v>2118</v>
      </c>
      <c r="B879" s="881">
        <f>'[1]PLAN DE DESARROLLO 2024 - 2027'!$M$161</f>
        <v>0.24647581985093744</v>
      </c>
      <c r="C879" s="869" t="s">
        <v>2126</v>
      </c>
      <c r="D879" s="878">
        <f>'[1]PLAN DE DESARROLLO 2024 - 2027'!$M$184</f>
        <v>0.18265127235728812</v>
      </c>
      <c r="E879" s="869" t="s">
        <v>2141</v>
      </c>
      <c r="F879" s="879">
        <f>[2]Hoja1!$B$43</f>
        <v>7.6466666666666683E-2</v>
      </c>
      <c r="G879" s="869" t="s">
        <v>1036</v>
      </c>
      <c r="H879" s="869" t="s">
        <v>1233</v>
      </c>
      <c r="I879" s="869"/>
      <c r="J879" s="869" t="s">
        <v>58</v>
      </c>
      <c r="K879" s="880" t="s">
        <v>2264</v>
      </c>
    </row>
    <row r="880" spans="1:11" s="866" customFormat="1" ht="28.8" x14ac:dyDescent="0.3">
      <c r="A880" s="869" t="s">
        <v>2118</v>
      </c>
      <c r="B880" s="881">
        <f>'[1]PLAN DE DESARROLLO 2024 - 2027'!$M$161</f>
        <v>0.24647581985093744</v>
      </c>
      <c r="C880" s="869" t="s">
        <v>2126</v>
      </c>
      <c r="D880" s="878">
        <f>'[1]PLAN DE DESARROLLO 2024 - 2027'!$M$184</f>
        <v>0.18265127235728812</v>
      </c>
      <c r="E880" s="869" t="s">
        <v>2141</v>
      </c>
      <c r="F880" s="879">
        <f>[2]Hoja1!$B$43</f>
        <v>7.6466666666666683E-2</v>
      </c>
      <c r="G880" s="869" t="s">
        <v>1037</v>
      </c>
      <c r="H880" s="869" t="s">
        <v>1234</v>
      </c>
      <c r="I880" s="869"/>
      <c r="J880" s="869" t="s">
        <v>58</v>
      </c>
      <c r="K880" s="880" t="s">
        <v>2264</v>
      </c>
    </row>
    <row r="881" spans="1:11" s="866" customFormat="1" ht="28.8" x14ac:dyDescent="0.3">
      <c r="A881" s="869" t="s">
        <v>2151</v>
      </c>
      <c r="B881" s="877">
        <f>'[1]PLAN DE DESARROLLO 2024 - 2027'!$M$4</f>
        <v>0.24028917333263158</v>
      </c>
      <c r="C881" s="869" t="s">
        <v>2154</v>
      </c>
      <c r="D881" s="878">
        <f>'[1]PLAN DE DESARROLLO 2024 - 2027'!$M$11</f>
        <v>0.24196521875000004</v>
      </c>
      <c r="E881" s="869" t="s">
        <v>2203</v>
      </c>
      <c r="F881" s="879">
        <f>[2]Hoja1!$B$17</f>
        <v>6.6166666666666665E-2</v>
      </c>
      <c r="G881" s="869" t="s">
        <v>81</v>
      </c>
      <c r="H881" s="869" t="s">
        <v>82</v>
      </c>
      <c r="I881" s="869"/>
      <c r="J881" s="869" t="s">
        <v>12</v>
      </c>
      <c r="K881" s="880" t="s">
        <v>2264</v>
      </c>
    </row>
    <row r="882" spans="1:11" s="866" customFormat="1" ht="28.8" x14ac:dyDescent="0.3">
      <c r="A882" s="869" t="s">
        <v>2151</v>
      </c>
      <c r="B882" s="877">
        <f>'[1]PLAN DE DESARROLLO 2024 - 2027'!$M$4</f>
        <v>0.24028917333263158</v>
      </c>
      <c r="C882" s="869" t="s">
        <v>2154</v>
      </c>
      <c r="D882" s="878">
        <f>'[1]PLAN DE DESARROLLO 2024 - 2027'!$M$11</f>
        <v>0.24196521875000004</v>
      </c>
      <c r="E882" s="869" t="s">
        <v>2203</v>
      </c>
      <c r="F882" s="879">
        <f>[2]Hoja1!$B$17</f>
        <v>6.6166666666666665E-2</v>
      </c>
      <c r="G882" s="869" t="s">
        <v>83</v>
      </c>
      <c r="H882" s="869" t="s">
        <v>84</v>
      </c>
      <c r="I882" s="869"/>
      <c r="J882" s="869" t="s">
        <v>12</v>
      </c>
      <c r="K882" s="880" t="s">
        <v>2264</v>
      </c>
    </row>
    <row r="883" spans="1:11" s="866" customFormat="1" ht="28.8" x14ac:dyDescent="0.3">
      <c r="A883" s="869" t="s">
        <v>2076</v>
      </c>
      <c r="B883" s="881">
        <f>'[1]PLAN DE DESARROLLO 2024 - 2027'!$M$92</f>
        <v>0.25050860314981654</v>
      </c>
      <c r="C883" s="869" t="s">
        <v>2105</v>
      </c>
      <c r="D883" s="878">
        <f>'[1]PLAN DE DESARROLLO 2024 - 2027'!$M$116</f>
        <v>0.21525263088160634</v>
      </c>
      <c r="E883" s="869" t="s">
        <v>2106</v>
      </c>
      <c r="F883" s="879">
        <f>[2]Hoja1!$B$92</f>
        <v>0.30715959252971137</v>
      </c>
      <c r="G883" s="869" t="s">
        <v>770</v>
      </c>
      <c r="H883" s="869" t="s">
        <v>1466</v>
      </c>
      <c r="I883" s="869"/>
      <c r="J883" s="869" t="s">
        <v>767</v>
      </c>
      <c r="K883" s="880" t="s">
        <v>2264</v>
      </c>
    </row>
    <row r="884" spans="1:11" s="866" customFormat="1" ht="28.8" x14ac:dyDescent="0.3">
      <c r="A884" s="869" t="s">
        <v>2205</v>
      </c>
      <c r="B884" s="877">
        <f>'[1]PLAN DE DESARROLLO 2024 - 2027'!$M$46</f>
        <v>0.25251661967012345</v>
      </c>
      <c r="C884" s="869" t="s">
        <v>2209</v>
      </c>
      <c r="D884" s="878">
        <f>'[1]PLAN DE DESARROLLO 2024 - 2027'!$M$73</f>
        <v>0.25984040977313172</v>
      </c>
      <c r="E884" s="869" t="s">
        <v>2245</v>
      </c>
      <c r="F884" s="879">
        <f>[2]Hoja1!$B$66</f>
        <v>0.34112500000000001</v>
      </c>
      <c r="G884" s="869" t="s">
        <v>590</v>
      </c>
      <c r="H884" s="869" t="s">
        <v>591</v>
      </c>
      <c r="I884" s="869"/>
      <c r="J884" s="869" t="s">
        <v>565</v>
      </c>
      <c r="K884" s="880" t="s">
        <v>2264</v>
      </c>
    </row>
    <row r="885" spans="1:11" s="866" customFormat="1" ht="28.8" x14ac:dyDescent="0.3">
      <c r="A885" s="869" t="s">
        <v>2205</v>
      </c>
      <c r="B885" s="877">
        <f>'[1]PLAN DE DESARROLLO 2024 - 2027'!$M$46</f>
        <v>0.25251661967012345</v>
      </c>
      <c r="C885" s="869" t="s">
        <v>2209</v>
      </c>
      <c r="D885" s="878">
        <f>'[1]PLAN DE DESARROLLO 2024 - 2027'!$M$73</f>
        <v>0.25984040977313172</v>
      </c>
      <c r="E885" s="869" t="s">
        <v>2210</v>
      </c>
      <c r="F885" s="879">
        <f>[2]Hoja1!$B$104</f>
        <v>0</v>
      </c>
      <c r="G885" s="869" t="s">
        <v>612</v>
      </c>
      <c r="H885" s="869" t="s">
        <v>613</v>
      </c>
      <c r="I885" s="869"/>
      <c r="J885" s="869" t="s">
        <v>2211</v>
      </c>
      <c r="K885" s="880" t="s">
        <v>2264</v>
      </c>
    </row>
    <row r="886" spans="1:11" s="866" customFormat="1" ht="28.8" x14ac:dyDescent="0.3">
      <c r="A886" s="869" t="s">
        <v>2205</v>
      </c>
      <c r="B886" s="877">
        <f>'[1]PLAN DE DESARROLLO 2024 - 2027'!$M$46</f>
        <v>0.25251661967012345</v>
      </c>
      <c r="C886" s="869" t="s">
        <v>2209</v>
      </c>
      <c r="D886" s="878">
        <f>'[1]PLAN DE DESARROLLO 2024 - 2027'!$M$73</f>
        <v>0.25984040977313172</v>
      </c>
      <c r="E886" s="869" t="s">
        <v>2210</v>
      </c>
      <c r="F886" s="879">
        <f>[2]Hoja1!$B$104</f>
        <v>0</v>
      </c>
      <c r="G886" s="869" t="s">
        <v>614</v>
      </c>
      <c r="H886" s="869" t="s">
        <v>615</v>
      </c>
      <c r="I886" s="869"/>
      <c r="J886" s="869" t="s">
        <v>2211</v>
      </c>
      <c r="K886" s="880" t="s">
        <v>2264</v>
      </c>
    </row>
    <row r="887" spans="1:11" s="866" customFormat="1" ht="28.8" x14ac:dyDescent="0.3">
      <c r="A887" s="869" t="s">
        <v>2205</v>
      </c>
      <c r="B887" s="877">
        <f>'[1]PLAN DE DESARROLLO 2024 - 2027'!$M$46</f>
        <v>0.25251661967012345</v>
      </c>
      <c r="C887" s="869" t="s">
        <v>2209</v>
      </c>
      <c r="D887" s="878">
        <f>'[1]PLAN DE DESARROLLO 2024 - 2027'!$M$73</f>
        <v>0.25984040977313172</v>
      </c>
      <c r="E887" s="869" t="s">
        <v>2210</v>
      </c>
      <c r="F887" s="879">
        <f>[2]Hoja1!$B$104</f>
        <v>0</v>
      </c>
      <c r="G887" s="869" t="s">
        <v>616</v>
      </c>
      <c r="H887" s="869" t="s">
        <v>617</v>
      </c>
      <c r="I887" s="869"/>
      <c r="J887" s="869" t="s">
        <v>2211</v>
      </c>
      <c r="K887" s="880" t="s">
        <v>2264</v>
      </c>
    </row>
    <row r="888" spans="1:11" s="866" customFormat="1" ht="28.8" x14ac:dyDescent="0.3">
      <c r="A888" s="869" t="s">
        <v>2205</v>
      </c>
      <c r="B888" s="877">
        <f>'[1]PLAN DE DESARROLLO 2024 - 2027'!$M$46</f>
        <v>0.25251661967012345</v>
      </c>
      <c r="C888" s="869" t="s">
        <v>2248</v>
      </c>
      <c r="D888" s="878">
        <f>'[1]PLAN DE DESARROLLO 2024 - 2027'!$M$80</f>
        <v>0.28962755963439352</v>
      </c>
      <c r="E888" s="869" t="s">
        <v>2260</v>
      </c>
      <c r="F888" s="879">
        <f>[2]Hoja1!$B$26</f>
        <v>0.47766974358974362</v>
      </c>
      <c r="G888" s="869" t="s">
        <v>652</v>
      </c>
      <c r="H888" s="869" t="s">
        <v>653</v>
      </c>
      <c r="I888" s="869"/>
      <c r="J888" s="869" t="s">
        <v>620</v>
      </c>
      <c r="K888" s="880" t="s">
        <v>2264</v>
      </c>
    </row>
    <row r="889" spans="1:11" s="866" customFormat="1" ht="28.8" x14ac:dyDescent="0.3">
      <c r="A889" s="869" t="s">
        <v>2151</v>
      </c>
      <c r="B889" s="877">
        <f>'[1]PLAN DE DESARROLLO 2024 - 2027'!$M$4</f>
        <v>0.24028917333263158</v>
      </c>
      <c r="C889" s="869" t="s">
        <v>2154</v>
      </c>
      <c r="D889" s="878">
        <f>'[1]PLAN DE DESARROLLO 2024 - 2027'!$M$11</f>
        <v>0.24196521875000004</v>
      </c>
      <c r="E889" s="869" t="s">
        <v>2203</v>
      </c>
      <c r="F889" s="879">
        <f>[2]Hoja1!$B$17</f>
        <v>6.6166666666666665E-2</v>
      </c>
      <c r="G889" s="869" t="s">
        <v>85</v>
      </c>
      <c r="H889" s="869" t="s">
        <v>86</v>
      </c>
      <c r="I889" s="869"/>
      <c r="J889" s="869" t="s">
        <v>12</v>
      </c>
      <c r="K889" s="880" t="s">
        <v>2264</v>
      </c>
    </row>
    <row r="890" spans="1:11" s="866" customFormat="1" ht="28.8" x14ac:dyDescent="0.3">
      <c r="A890" s="869" t="s">
        <v>2151</v>
      </c>
      <c r="B890" s="877">
        <f>'[1]PLAN DE DESARROLLO 2024 - 2027'!$M$4</f>
        <v>0.24028917333263158</v>
      </c>
      <c r="C890" s="869" t="s">
        <v>2154</v>
      </c>
      <c r="D890" s="878">
        <f>'[1]PLAN DE DESARROLLO 2024 - 2027'!$M$11</f>
        <v>0.24196521875000004</v>
      </c>
      <c r="E890" s="869" t="s">
        <v>2203</v>
      </c>
      <c r="F890" s="879">
        <f>[2]Hoja1!$B$17</f>
        <v>6.6166666666666665E-2</v>
      </c>
      <c r="G890" s="869" t="s">
        <v>87</v>
      </c>
      <c r="H890" s="869" t="s">
        <v>88</v>
      </c>
      <c r="I890" s="869"/>
      <c r="J890" s="869" t="s">
        <v>12</v>
      </c>
      <c r="K890" s="880" t="s">
        <v>2264</v>
      </c>
    </row>
    <row r="891" spans="1:11" s="866" customFormat="1" ht="43.2" x14ac:dyDescent="0.3">
      <c r="A891" s="869" t="s">
        <v>2151</v>
      </c>
      <c r="B891" s="877">
        <f>'[1]PLAN DE DESARROLLO 2024 - 2027'!$M$4</f>
        <v>0.24028917333263158</v>
      </c>
      <c r="C891" s="869" t="s">
        <v>2154</v>
      </c>
      <c r="D891" s="878">
        <f>'[1]PLAN DE DESARROLLO 2024 - 2027'!$M$11</f>
        <v>0.24196521875000004</v>
      </c>
      <c r="E891" s="869" t="s">
        <v>1600</v>
      </c>
      <c r="F891" s="879">
        <f>[2]Hoja1!$B$21</f>
        <v>0.24583333333333335</v>
      </c>
      <c r="G891" s="869" t="s">
        <v>67</v>
      </c>
      <c r="H891" s="869" t="s">
        <v>68</v>
      </c>
      <c r="I891" s="869"/>
      <c r="J891" s="869" t="s">
        <v>12</v>
      </c>
      <c r="K891" s="880" t="s">
        <v>2264</v>
      </c>
    </row>
    <row r="892" spans="1:11" s="866" customFormat="1" ht="28.8" x14ac:dyDescent="0.3">
      <c r="A892" s="869" t="s">
        <v>2151</v>
      </c>
      <c r="B892" s="877">
        <f>'[1]PLAN DE DESARROLLO 2024 - 2027'!$M$4</f>
        <v>0.24028917333263158</v>
      </c>
      <c r="C892" s="869" t="s">
        <v>2154</v>
      </c>
      <c r="D892" s="878">
        <f>'[1]PLAN DE DESARROLLO 2024 - 2027'!$M$11</f>
        <v>0.24196521875000004</v>
      </c>
      <c r="E892" s="869" t="s">
        <v>1600</v>
      </c>
      <c r="F892" s="879">
        <f>[2]Hoja1!$B$21</f>
        <v>0.24583333333333335</v>
      </c>
      <c r="G892" s="869" t="s">
        <v>69</v>
      </c>
      <c r="H892" s="869" t="s">
        <v>70</v>
      </c>
      <c r="I892" s="869"/>
      <c r="J892" s="869" t="s">
        <v>12</v>
      </c>
      <c r="K892" s="880" t="s">
        <v>2264</v>
      </c>
    </row>
    <row r="893" spans="1:11" s="866" customFormat="1" ht="28.8" x14ac:dyDescent="0.3">
      <c r="A893" s="869" t="s">
        <v>2151</v>
      </c>
      <c r="B893" s="877">
        <f>'[1]PLAN DE DESARROLLO 2024 - 2027'!$M$4</f>
        <v>0.24028917333263158</v>
      </c>
      <c r="C893" s="869" t="s">
        <v>2154</v>
      </c>
      <c r="D893" s="878">
        <f>'[1]PLAN DE DESARROLLO 2024 - 2027'!$M$11</f>
        <v>0.24196521875000004</v>
      </c>
      <c r="E893" s="869" t="s">
        <v>1600</v>
      </c>
      <c r="F893" s="879">
        <f>[2]Hoja1!$B$21</f>
        <v>0.24583333333333335</v>
      </c>
      <c r="G893" s="869" t="s">
        <v>71</v>
      </c>
      <c r="H893" s="869" t="s">
        <v>72</v>
      </c>
      <c r="I893" s="869"/>
      <c r="J893" s="869" t="s">
        <v>12</v>
      </c>
      <c r="K893" s="880" t="s">
        <v>2264</v>
      </c>
    </row>
    <row r="894" spans="1:11" s="866" customFormat="1" ht="28.8" x14ac:dyDescent="0.3">
      <c r="A894" s="869" t="s">
        <v>2151</v>
      </c>
      <c r="B894" s="877">
        <f>'[1]PLAN DE DESARROLLO 2024 - 2027'!$M$4</f>
        <v>0.24028917333263158</v>
      </c>
      <c r="C894" s="869" t="s">
        <v>2154</v>
      </c>
      <c r="D894" s="878">
        <f>'[1]PLAN DE DESARROLLO 2024 - 2027'!$M$11</f>
        <v>0.24196521875000004</v>
      </c>
      <c r="E894" s="869" t="s">
        <v>1600</v>
      </c>
      <c r="F894" s="879">
        <f>[2]Hoja1!$B$21</f>
        <v>0.24583333333333335</v>
      </c>
      <c r="G894" s="869" t="s">
        <v>73</v>
      </c>
      <c r="H894" s="869" t="s">
        <v>74</v>
      </c>
      <c r="I894" s="869"/>
      <c r="J894" s="869" t="s">
        <v>31</v>
      </c>
      <c r="K894" s="880" t="s">
        <v>2264</v>
      </c>
    </row>
    <row r="895" spans="1:11" s="866" customFormat="1" ht="43.2" x14ac:dyDescent="0.3">
      <c r="A895" s="869" t="s">
        <v>2151</v>
      </c>
      <c r="B895" s="877">
        <f>'[1]PLAN DE DESARROLLO 2024 - 2027'!$M$4</f>
        <v>0.24028917333263158</v>
      </c>
      <c r="C895" s="869" t="s">
        <v>2154</v>
      </c>
      <c r="D895" s="878">
        <f>'[1]PLAN DE DESARROLLO 2024 - 2027'!$M$11</f>
        <v>0.24196521875000004</v>
      </c>
      <c r="E895" s="869" t="s">
        <v>2202</v>
      </c>
      <c r="F895" s="879">
        <f>[2]Hoja1!$B$44</f>
        <v>0.38600000000000001</v>
      </c>
      <c r="G895" s="869" t="s">
        <v>63</v>
      </c>
      <c r="H895" s="869" t="s">
        <v>64</v>
      </c>
      <c r="I895" s="869"/>
      <c r="J895" s="869" t="s">
        <v>58</v>
      </c>
      <c r="K895" s="880" t="s">
        <v>2264</v>
      </c>
    </row>
    <row r="896" spans="1:11" s="866" customFormat="1" ht="28.8" x14ac:dyDescent="0.3">
      <c r="A896" s="869" t="s">
        <v>2151</v>
      </c>
      <c r="B896" s="877">
        <f>'[1]PLAN DE DESARROLLO 2024 - 2027'!$M$4</f>
        <v>0.24028917333263158</v>
      </c>
      <c r="C896" s="869" t="s">
        <v>2154</v>
      </c>
      <c r="D896" s="878">
        <f>'[1]PLAN DE DESARROLLO 2024 - 2027'!$M$11</f>
        <v>0.24196521875000004</v>
      </c>
      <c r="E896" s="869" t="s">
        <v>2202</v>
      </c>
      <c r="F896" s="879">
        <f>[2]Hoja1!$B$44</f>
        <v>0.38600000000000001</v>
      </c>
      <c r="G896" s="869" t="s">
        <v>65</v>
      </c>
      <c r="H896" s="869" t="s">
        <v>66</v>
      </c>
      <c r="I896" s="869"/>
      <c r="J896" s="869" t="s">
        <v>58</v>
      </c>
      <c r="K896" s="880" t="s">
        <v>2264</v>
      </c>
    </row>
    <row r="897" spans="1:11" s="866" customFormat="1" ht="28.8" x14ac:dyDescent="0.3">
      <c r="A897" s="869" t="s">
        <v>2151</v>
      </c>
      <c r="B897" s="877">
        <f>'[1]PLAN DE DESARROLLO 2024 - 2027'!$M$4</f>
        <v>0.24028917333263158</v>
      </c>
      <c r="C897" s="869" t="s">
        <v>2154</v>
      </c>
      <c r="D897" s="878">
        <f>'[1]PLAN DE DESARROLLO 2024 - 2027'!$M$11</f>
        <v>0.24196521875000004</v>
      </c>
      <c r="E897" s="869" t="s">
        <v>1604</v>
      </c>
      <c r="F897" s="879">
        <f>[2]Hoja1!$B$48</f>
        <v>0.17574218750000001</v>
      </c>
      <c r="G897" s="869" t="s">
        <v>135</v>
      </c>
      <c r="H897" s="869" t="s">
        <v>136</v>
      </c>
      <c r="I897" s="869"/>
      <c r="J897" s="869" t="s">
        <v>12</v>
      </c>
      <c r="K897" s="880" t="s">
        <v>2264</v>
      </c>
    </row>
    <row r="898" spans="1:11" s="866" customFormat="1" ht="28.8" x14ac:dyDescent="0.3">
      <c r="A898" s="869" t="s">
        <v>2151</v>
      </c>
      <c r="B898" s="877">
        <f>'[1]PLAN DE DESARROLLO 2024 - 2027'!$M$4</f>
        <v>0.24028917333263158</v>
      </c>
      <c r="C898" s="869" t="s">
        <v>2154</v>
      </c>
      <c r="D898" s="878">
        <f>'[1]PLAN DE DESARROLLO 2024 - 2027'!$M$11</f>
        <v>0.24196521875000004</v>
      </c>
      <c r="E898" s="869" t="s">
        <v>1604</v>
      </c>
      <c r="F898" s="879">
        <f>[2]Hoja1!$B$48</f>
        <v>0.17574218750000001</v>
      </c>
      <c r="G898" s="869" t="s">
        <v>137</v>
      </c>
      <c r="H898" s="869" t="s">
        <v>138</v>
      </c>
      <c r="I898" s="869"/>
      <c r="J898" s="869" t="s">
        <v>12</v>
      </c>
      <c r="K898" s="880" t="s">
        <v>2264</v>
      </c>
    </row>
    <row r="899" spans="1:11" s="866" customFormat="1" ht="28.8" x14ac:dyDescent="0.3">
      <c r="A899" s="869" t="s">
        <v>2151</v>
      </c>
      <c r="B899" s="877">
        <f>'[1]PLAN DE DESARROLLO 2024 - 2027'!$M$4</f>
        <v>0.24028917333263158</v>
      </c>
      <c r="C899" s="869" t="s">
        <v>2154</v>
      </c>
      <c r="D899" s="878">
        <f>'[1]PLAN DE DESARROLLO 2024 - 2027'!$M$11</f>
        <v>0.24196521875000004</v>
      </c>
      <c r="E899" s="869" t="s">
        <v>1604</v>
      </c>
      <c r="F899" s="879">
        <f>[2]Hoja1!$B$48</f>
        <v>0.17574218750000001</v>
      </c>
      <c r="G899" s="869" t="s">
        <v>139</v>
      </c>
      <c r="H899" s="869" t="s">
        <v>140</v>
      </c>
      <c r="I899" s="869"/>
      <c r="J899" s="869" t="s">
        <v>12</v>
      </c>
      <c r="K899" s="880" t="s">
        <v>2264</v>
      </c>
    </row>
    <row r="900" spans="1:11" s="866" customFormat="1" ht="43.2" x14ac:dyDescent="0.3">
      <c r="A900" s="869" t="s">
        <v>2076</v>
      </c>
      <c r="B900" s="881">
        <f>'[1]PLAN DE DESARROLLO 2024 - 2027'!$M$92</f>
        <v>0.25050860314981654</v>
      </c>
      <c r="C900" s="869" t="s">
        <v>2105</v>
      </c>
      <c r="D900" s="878">
        <f>'[1]PLAN DE DESARROLLO 2024 - 2027'!$M$116</f>
        <v>0.21525263088160634</v>
      </c>
      <c r="E900" s="869" t="s">
        <v>2106</v>
      </c>
      <c r="F900" s="879">
        <f>[2]Hoja1!$B$92</f>
        <v>0.30715959252971137</v>
      </c>
      <c r="G900" s="869" t="s">
        <v>771</v>
      </c>
      <c r="H900" s="869" t="s">
        <v>1467</v>
      </c>
      <c r="I900" s="869"/>
      <c r="J900" s="869" t="s">
        <v>767</v>
      </c>
      <c r="K900" s="880" t="s">
        <v>2264</v>
      </c>
    </row>
    <row r="901" spans="1:11" s="866" customFormat="1" ht="28.8" x14ac:dyDescent="0.3">
      <c r="A901" s="869" t="s">
        <v>2076</v>
      </c>
      <c r="B901" s="881">
        <f>'[1]PLAN DE DESARROLLO 2024 - 2027'!$M$92</f>
        <v>0.25050860314981654</v>
      </c>
      <c r="C901" s="869" t="s">
        <v>2088</v>
      </c>
      <c r="D901" s="878">
        <f>'[1]PLAN DE DESARROLLO 2024 - 2027'!$M$96</f>
        <v>0.52752194656488549</v>
      </c>
      <c r="E901" s="869" t="s">
        <v>2090</v>
      </c>
      <c r="F901" s="879">
        <f>[2]Hoja1!$B$41</f>
        <v>0.38396946564885492</v>
      </c>
      <c r="G901" s="869" t="s">
        <v>694</v>
      </c>
      <c r="H901" s="869" t="s">
        <v>1402</v>
      </c>
      <c r="I901" s="869"/>
      <c r="J901" s="869" t="s">
        <v>516</v>
      </c>
      <c r="K901" s="880" t="s">
        <v>2264</v>
      </c>
    </row>
    <row r="902" spans="1:11" s="866" customFormat="1" ht="28.8" x14ac:dyDescent="0.3">
      <c r="A902" s="869" t="s">
        <v>2076</v>
      </c>
      <c r="B902" s="881">
        <f>'[1]PLAN DE DESARROLLO 2024 - 2027'!$M$92</f>
        <v>0.25050860314981654</v>
      </c>
      <c r="C902" s="869" t="s">
        <v>2088</v>
      </c>
      <c r="D902" s="878">
        <f>'[1]PLAN DE DESARROLLO 2024 - 2027'!$M$96</f>
        <v>0.52752194656488549</v>
      </c>
      <c r="E902" s="869" t="s">
        <v>2090</v>
      </c>
      <c r="F902" s="879">
        <f>[2]Hoja1!$B$41</f>
        <v>0.38396946564885492</v>
      </c>
      <c r="G902" s="869" t="s">
        <v>695</v>
      </c>
      <c r="H902" s="869" t="s">
        <v>1403</v>
      </c>
      <c r="I902" s="869"/>
      <c r="J902" s="869" t="s">
        <v>516</v>
      </c>
      <c r="K902" s="880" t="s">
        <v>2264</v>
      </c>
    </row>
    <row r="903" spans="1:11" s="866" customFormat="1" ht="43.2" x14ac:dyDescent="0.3">
      <c r="A903" s="869" t="s">
        <v>2001</v>
      </c>
      <c r="B903" s="881">
        <f>'[1]PLAN DE DESARROLLO 2024 - 2027'!$M$198</f>
        <v>3.4556250000000004E-2</v>
      </c>
      <c r="C903" s="869" t="s">
        <v>2002</v>
      </c>
      <c r="D903" s="883">
        <f>'[1]PLAN DE DESARROLLO 2024 - 2027'!$M$199</f>
        <v>3.5866666666666672E-2</v>
      </c>
      <c r="E903" s="869" t="s">
        <v>2003</v>
      </c>
      <c r="F903" s="884">
        <f>[2]Hoja1!$B$50</f>
        <v>0</v>
      </c>
      <c r="G903" s="869" t="s">
        <v>1084</v>
      </c>
      <c r="H903" s="869" t="s">
        <v>1085</v>
      </c>
      <c r="I903" s="869"/>
      <c r="J903" s="869" t="s">
        <v>162</v>
      </c>
      <c r="K903" s="880" t="s">
        <v>2264</v>
      </c>
    </row>
    <row r="904" spans="1:11" s="866" customFormat="1" ht="43.2" x14ac:dyDescent="0.3">
      <c r="A904" s="869" t="s">
        <v>2001</v>
      </c>
      <c r="B904" s="881">
        <f>'[1]PLAN DE DESARROLLO 2024 - 2027'!$M$198</f>
        <v>3.4556250000000004E-2</v>
      </c>
      <c r="C904" s="869" t="s">
        <v>2002</v>
      </c>
      <c r="D904" s="883">
        <f>'[1]PLAN DE DESARROLLO 2024 - 2027'!$M$199</f>
        <v>3.5866666666666672E-2</v>
      </c>
      <c r="E904" s="869" t="s">
        <v>2003</v>
      </c>
      <c r="F904" s="884">
        <f>[2]Hoja1!$B$50</f>
        <v>0</v>
      </c>
      <c r="G904" s="869" t="s">
        <v>1086</v>
      </c>
      <c r="H904" s="869" t="s">
        <v>1087</v>
      </c>
      <c r="I904" s="869"/>
      <c r="J904" s="869" t="s">
        <v>162</v>
      </c>
      <c r="K904" s="880" t="s">
        <v>2264</v>
      </c>
    </row>
    <row r="905" spans="1:11" s="866" customFormat="1" ht="43.2" x14ac:dyDescent="0.3">
      <c r="A905" s="869" t="s">
        <v>2001</v>
      </c>
      <c r="B905" s="881">
        <f>'[1]PLAN DE DESARROLLO 2024 - 2027'!$M$198</f>
        <v>3.4556250000000004E-2</v>
      </c>
      <c r="C905" s="869" t="s">
        <v>2002</v>
      </c>
      <c r="D905" s="883">
        <f>'[1]PLAN DE DESARROLLO 2024 - 2027'!$M$199</f>
        <v>3.5866666666666672E-2</v>
      </c>
      <c r="E905" s="869" t="s">
        <v>2003</v>
      </c>
      <c r="F905" s="884">
        <f>[2]Hoja1!$B$50</f>
        <v>0</v>
      </c>
      <c r="G905" s="869" t="s">
        <v>1088</v>
      </c>
      <c r="H905" s="869" t="s">
        <v>1089</v>
      </c>
      <c r="I905" s="869"/>
      <c r="J905" s="869" t="s">
        <v>620</v>
      </c>
      <c r="K905" s="880" t="s">
        <v>2264</v>
      </c>
    </row>
    <row r="906" spans="1:11" s="866" customFormat="1" ht="43.2" x14ac:dyDescent="0.3">
      <c r="A906" s="869" t="s">
        <v>2001</v>
      </c>
      <c r="B906" s="881">
        <f>'[1]PLAN DE DESARROLLO 2024 - 2027'!$M$198</f>
        <v>3.4556250000000004E-2</v>
      </c>
      <c r="C906" s="869" t="s">
        <v>2002</v>
      </c>
      <c r="D906" s="883">
        <f>'[1]PLAN DE DESARROLLO 2024 - 2027'!$M$199</f>
        <v>3.5866666666666672E-2</v>
      </c>
      <c r="E906" s="869" t="s">
        <v>2003</v>
      </c>
      <c r="F906" s="884">
        <f>[2]Hoja1!$B$50</f>
        <v>0</v>
      </c>
      <c r="G906" s="869" t="s">
        <v>1090</v>
      </c>
      <c r="H906" s="869" t="s">
        <v>1091</v>
      </c>
      <c r="I906" s="869"/>
      <c r="J906" s="869" t="s">
        <v>620</v>
      </c>
      <c r="K906" s="880" t="s">
        <v>2264</v>
      </c>
    </row>
    <row r="907" spans="1:11" s="866" customFormat="1" ht="72" x14ac:dyDescent="0.3">
      <c r="A907" s="869" t="s">
        <v>2001</v>
      </c>
      <c r="B907" s="881">
        <f>'[1]PLAN DE DESARROLLO 2024 - 2027'!$M$198</f>
        <v>3.4556250000000004E-2</v>
      </c>
      <c r="C907" s="869" t="s">
        <v>2002</v>
      </c>
      <c r="D907" s="883">
        <f>'[1]PLAN DE DESARROLLO 2024 - 2027'!$M$199</f>
        <v>3.5866666666666672E-2</v>
      </c>
      <c r="E907" s="869" t="s">
        <v>2003</v>
      </c>
      <c r="F907" s="884">
        <f>[2]Hoja1!$B$50</f>
        <v>0</v>
      </c>
      <c r="G907" s="869" t="s">
        <v>1092</v>
      </c>
      <c r="H907" s="869" t="s">
        <v>1093</v>
      </c>
      <c r="I907" s="869"/>
      <c r="J907" s="869" t="s">
        <v>707</v>
      </c>
      <c r="K907" s="880" t="s">
        <v>2264</v>
      </c>
    </row>
    <row r="908" spans="1:11" s="866" customFormat="1" ht="43.2" x14ac:dyDescent="0.3">
      <c r="A908" s="869" t="s">
        <v>2001</v>
      </c>
      <c r="B908" s="881">
        <f>'[1]PLAN DE DESARROLLO 2024 - 2027'!$M$198</f>
        <v>3.4556250000000004E-2</v>
      </c>
      <c r="C908" s="869" t="s">
        <v>2002</v>
      </c>
      <c r="D908" s="883">
        <f>'[1]PLAN DE DESARROLLO 2024 - 2027'!$M$199</f>
        <v>3.5866666666666672E-2</v>
      </c>
      <c r="E908" s="869" t="s">
        <v>2003</v>
      </c>
      <c r="F908" s="884">
        <f>[2]Hoja1!$B$50</f>
        <v>0</v>
      </c>
      <c r="G908" s="869" t="s">
        <v>1094</v>
      </c>
      <c r="H908" s="869" t="s">
        <v>1095</v>
      </c>
      <c r="I908" s="869"/>
      <c r="J908" s="869" t="s">
        <v>707</v>
      </c>
      <c r="K908" s="880" t="s">
        <v>2264</v>
      </c>
    </row>
    <row r="909" spans="1:11" s="866" customFormat="1" ht="43.2" x14ac:dyDescent="0.3">
      <c r="A909" s="869" t="s">
        <v>2001</v>
      </c>
      <c r="B909" s="881">
        <f>'[1]PLAN DE DESARROLLO 2024 - 2027'!$M$198</f>
        <v>3.4556250000000004E-2</v>
      </c>
      <c r="C909" s="869" t="s">
        <v>2002</v>
      </c>
      <c r="D909" s="883">
        <f>'[1]PLAN DE DESARROLLO 2024 - 2027'!$M$199</f>
        <v>3.5866666666666672E-2</v>
      </c>
      <c r="E909" s="869" t="s">
        <v>2003</v>
      </c>
      <c r="F909" s="884">
        <f>[2]Hoja1!$B$50</f>
        <v>0</v>
      </c>
      <c r="G909" s="869" t="s">
        <v>1096</v>
      </c>
      <c r="H909" s="869" t="s">
        <v>1097</v>
      </c>
      <c r="I909" s="869"/>
      <c r="J909" s="869" t="s">
        <v>551</v>
      </c>
      <c r="K909" s="880" t="s">
        <v>2264</v>
      </c>
    </row>
    <row r="910" spans="1:11" s="866" customFormat="1" ht="57.6" x14ac:dyDescent="0.3">
      <c r="A910" s="869" t="s">
        <v>2001</v>
      </c>
      <c r="B910" s="881">
        <f>'[1]PLAN DE DESARROLLO 2024 - 2027'!$M$198</f>
        <v>3.4556250000000004E-2</v>
      </c>
      <c r="C910" s="869" t="s">
        <v>2002</v>
      </c>
      <c r="D910" s="883">
        <f>'[1]PLAN DE DESARROLLO 2024 - 2027'!$M$199</f>
        <v>3.5866666666666672E-2</v>
      </c>
      <c r="E910" s="869" t="s">
        <v>2011</v>
      </c>
      <c r="F910" s="879">
        <f>[2]Hoja1!$B$51</f>
        <v>4.0000000000000008E-2</v>
      </c>
      <c r="G910" s="869" t="s">
        <v>1098</v>
      </c>
      <c r="H910" s="869" t="s">
        <v>1099</v>
      </c>
      <c r="I910" s="869"/>
      <c r="J910" s="869" t="s">
        <v>560</v>
      </c>
      <c r="K910" s="880" t="s">
        <v>2264</v>
      </c>
    </row>
    <row r="911" spans="1:11" s="866" customFormat="1" ht="43.2" x14ac:dyDescent="0.3">
      <c r="A911" s="869" t="s">
        <v>2001</v>
      </c>
      <c r="B911" s="881">
        <f>'[1]PLAN DE DESARROLLO 2024 - 2027'!$M$198</f>
        <v>3.4556250000000004E-2</v>
      </c>
      <c r="C911" s="869" t="s">
        <v>2002</v>
      </c>
      <c r="D911" s="883">
        <f>'[1]PLAN DE DESARROLLO 2024 - 2027'!$M$199</f>
        <v>3.5866666666666672E-2</v>
      </c>
      <c r="E911" s="869" t="s">
        <v>2011</v>
      </c>
      <c r="F911" s="879">
        <f>[2]Hoja1!$B$51</f>
        <v>4.0000000000000008E-2</v>
      </c>
      <c r="G911" s="869" t="s">
        <v>1100</v>
      </c>
      <c r="H911" s="869" t="s">
        <v>1101</v>
      </c>
      <c r="I911" s="869"/>
      <c r="J911" s="869" t="s">
        <v>698</v>
      </c>
      <c r="K911" s="880" t="s">
        <v>2264</v>
      </c>
    </row>
    <row r="912" spans="1:11" s="866" customFormat="1" ht="43.2" x14ac:dyDescent="0.3">
      <c r="A912" s="869" t="s">
        <v>2001</v>
      </c>
      <c r="B912" s="881">
        <f>'[1]PLAN DE DESARROLLO 2024 - 2027'!$M$198</f>
        <v>3.4556250000000004E-2</v>
      </c>
      <c r="C912" s="869" t="s">
        <v>2002</v>
      </c>
      <c r="D912" s="883">
        <f>'[1]PLAN DE DESARROLLO 2024 - 2027'!$M$199</f>
        <v>3.5866666666666672E-2</v>
      </c>
      <c r="E912" s="869" t="s">
        <v>2011</v>
      </c>
      <c r="F912" s="879">
        <f>[2]Hoja1!$B$51</f>
        <v>4.0000000000000008E-2</v>
      </c>
      <c r="G912" s="869" t="s">
        <v>1102</v>
      </c>
      <c r="H912" s="869" t="s">
        <v>1103</v>
      </c>
      <c r="I912" s="869"/>
      <c r="J912" s="869" t="s">
        <v>565</v>
      </c>
      <c r="K912" s="880" t="s">
        <v>2264</v>
      </c>
    </row>
    <row r="913" spans="1:11" s="866" customFormat="1" ht="43.2" x14ac:dyDescent="0.3">
      <c r="A913" s="869" t="s">
        <v>2001</v>
      </c>
      <c r="B913" s="881">
        <f>'[1]PLAN DE DESARROLLO 2024 - 2027'!$M$198</f>
        <v>3.4556250000000004E-2</v>
      </c>
      <c r="C913" s="869" t="s">
        <v>2002</v>
      </c>
      <c r="D913" s="883">
        <f>'[1]PLAN DE DESARROLLO 2024 - 2027'!$M$199</f>
        <v>3.5866666666666672E-2</v>
      </c>
      <c r="E913" s="869" t="s">
        <v>2011</v>
      </c>
      <c r="F913" s="879">
        <f>[2]Hoja1!$B$51</f>
        <v>4.0000000000000008E-2</v>
      </c>
      <c r="G913" s="869" t="s">
        <v>1104</v>
      </c>
      <c r="H913" s="869" t="s">
        <v>1105</v>
      </c>
      <c r="I913" s="869"/>
      <c r="J913" s="869" t="s">
        <v>907</v>
      </c>
      <c r="K913" s="880" t="s">
        <v>2264</v>
      </c>
    </row>
    <row r="914" spans="1:11" s="866" customFormat="1" ht="43.2" x14ac:dyDescent="0.3">
      <c r="A914" s="869" t="s">
        <v>2001</v>
      </c>
      <c r="B914" s="881">
        <f>'[1]PLAN DE DESARROLLO 2024 - 2027'!$M$198</f>
        <v>3.4556250000000004E-2</v>
      </c>
      <c r="C914" s="869" t="s">
        <v>2002</v>
      </c>
      <c r="D914" s="883">
        <f>'[1]PLAN DE DESARROLLO 2024 - 2027'!$M$199</f>
        <v>3.5866666666666672E-2</v>
      </c>
      <c r="E914" s="869" t="s">
        <v>2011</v>
      </c>
      <c r="F914" s="879">
        <f>[2]Hoja1!$B$51</f>
        <v>4.0000000000000008E-2</v>
      </c>
      <c r="G914" s="869" t="s">
        <v>1106</v>
      </c>
      <c r="H914" s="869" t="s">
        <v>1107</v>
      </c>
      <c r="I914" s="869"/>
      <c r="J914" s="869" t="s">
        <v>2012</v>
      </c>
      <c r="K914" s="880" t="s">
        <v>2264</v>
      </c>
    </row>
    <row r="915" spans="1:11" s="866" customFormat="1" ht="57.6" x14ac:dyDescent="0.3">
      <c r="A915" s="869" t="s">
        <v>2001</v>
      </c>
      <c r="B915" s="881">
        <f>'[1]PLAN DE DESARROLLO 2024 - 2027'!$M$198</f>
        <v>3.4556250000000004E-2</v>
      </c>
      <c r="C915" s="869" t="s">
        <v>2002</v>
      </c>
      <c r="D915" s="883">
        <f>'[1]PLAN DE DESARROLLO 2024 - 2027'!$M$199</f>
        <v>3.5866666666666672E-2</v>
      </c>
      <c r="E915" s="869" t="s">
        <v>2011</v>
      </c>
      <c r="F915" s="879">
        <f>[2]Hoja1!$B$51</f>
        <v>4.0000000000000008E-2</v>
      </c>
      <c r="G915" s="869" t="s">
        <v>1109</v>
      </c>
      <c r="H915" s="869" t="s">
        <v>1110</v>
      </c>
      <c r="I915" s="869"/>
      <c r="J915" s="869" t="s">
        <v>2013</v>
      </c>
      <c r="K915" s="880" t="s">
        <v>2264</v>
      </c>
    </row>
    <row r="916" spans="1:11" s="866" customFormat="1" ht="43.2" x14ac:dyDescent="0.3">
      <c r="A916" s="869" t="s">
        <v>2001</v>
      </c>
      <c r="B916" s="881">
        <f>'[1]PLAN DE DESARROLLO 2024 - 2027'!$M$198</f>
        <v>3.4556250000000004E-2</v>
      </c>
      <c r="C916" s="869" t="s">
        <v>2002</v>
      </c>
      <c r="D916" s="883">
        <f>'[1]PLAN DE DESARROLLO 2024 - 2027'!$M$199</f>
        <v>3.5866666666666672E-2</v>
      </c>
      <c r="E916" s="869" t="s">
        <v>2011</v>
      </c>
      <c r="F916" s="879">
        <f>[2]Hoja1!$B$51</f>
        <v>4.0000000000000008E-2</v>
      </c>
      <c r="G916" s="869" t="s">
        <v>1112</v>
      </c>
      <c r="H916" s="869" t="s">
        <v>1113</v>
      </c>
      <c r="I916" s="869"/>
      <c r="J916" s="869" t="s">
        <v>560</v>
      </c>
      <c r="K916" s="880" t="s">
        <v>2264</v>
      </c>
    </row>
    <row r="917" spans="1:11" s="866" customFormat="1" ht="28.8" x14ac:dyDescent="0.3">
      <c r="A917" s="869" t="s">
        <v>2118</v>
      </c>
      <c r="B917" s="881">
        <f>'[1]PLAN DE DESARROLLO 2024 - 2027'!$M$161</f>
        <v>0.24647581985093744</v>
      </c>
      <c r="C917" s="869" t="s">
        <v>2142</v>
      </c>
      <c r="D917" s="878">
        <f>'[1]PLAN DE DESARROLLO 2024 - 2027'!$M$191</f>
        <v>0.22981556695992181</v>
      </c>
      <c r="E917" s="869" t="s">
        <v>1836</v>
      </c>
      <c r="F917" s="879">
        <f>[2]Hoja1!$B$52</f>
        <v>0.15833333333333333</v>
      </c>
      <c r="G917" s="869" t="s">
        <v>1058</v>
      </c>
      <c r="H917" s="869" t="s">
        <v>1255</v>
      </c>
      <c r="I917" s="869"/>
      <c r="J917" s="869" t="s">
        <v>2148</v>
      </c>
      <c r="K917" s="880" t="s">
        <v>2264</v>
      </c>
    </row>
    <row r="918" spans="1:11" s="866" customFormat="1" ht="28.8" x14ac:dyDescent="0.3">
      <c r="A918" s="869" t="s">
        <v>2118</v>
      </c>
      <c r="B918" s="881">
        <f>'[1]PLAN DE DESARROLLO 2024 - 2027'!$M$161</f>
        <v>0.24647581985093744</v>
      </c>
      <c r="C918" s="869" t="s">
        <v>2142</v>
      </c>
      <c r="D918" s="878">
        <f>'[1]PLAN DE DESARROLLO 2024 - 2027'!$M$191</f>
        <v>0.22981556695992181</v>
      </c>
      <c r="E918" s="869" t="s">
        <v>1836</v>
      </c>
      <c r="F918" s="879">
        <f>[2]Hoja1!$B$52</f>
        <v>0.15833333333333333</v>
      </c>
      <c r="G918" s="869" t="s">
        <v>1060</v>
      </c>
      <c r="H918" s="869" t="s">
        <v>1256</v>
      </c>
      <c r="I918" s="869"/>
      <c r="J918" s="869" t="s">
        <v>560</v>
      </c>
      <c r="K918" s="880" t="s">
        <v>2264</v>
      </c>
    </row>
    <row r="919" spans="1:11" s="866" customFormat="1" ht="28.8" x14ac:dyDescent="0.3">
      <c r="A919" s="869" t="s">
        <v>2118</v>
      </c>
      <c r="B919" s="881">
        <f>'[1]PLAN DE DESARROLLO 2024 - 2027'!$M$161</f>
        <v>0.24647581985093744</v>
      </c>
      <c r="C919" s="869" t="s">
        <v>2142</v>
      </c>
      <c r="D919" s="878">
        <f>'[1]PLAN DE DESARROLLO 2024 - 2027'!$M$191</f>
        <v>0.22981556695992181</v>
      </c>
      <c r="E919" s="869" t="s">
        <v>1836</v>
      </c>
      <c r="F919" s="879">
        <f>[2]Hoja1!$B$52</f>
        <v>0.15833333333333333</v>
      </c>
      <c r="G919" s="869" t="s">
        <v>1061</v>
      </c>
      <c r="H919" s="869" t="s">
        <v>1257</v>
      </c>
      <c r="I919" s="869"/>
      <c r="J919" s="869" t="s">
        <v>560</v>
      </c>
      <c r="K919" s="880" t="s">
        <v>2264</v>
      </c>
    </row>
    <row r="920" spans="1:11" s="866" customFormat="1" ht="43.2" x14ac:dyDescent="0.3">
      <c r="A920" s="869" t="s">
        <v>2118</v>
      </c>
      <c r="B920" s="881">
        <f>'[1]PLAN DE DESARROLLO 2024 - 2027'!$M$161</f>
        <v>0.24647581985093744</v>
      </c>
      <c r="C920" s="869" t="s">
        <v>2142</v>
      </c>
      <c r="D920" s="878">
        <f>'[1]PLAN DE DESARROLLO 2024 - 2027'!$M$191</f>
        <v>0.22981556695992181</v>
      </c>
      <c r="E920" s="869" t="s">
        <v>1836</v>
      </c>
      <c r="F920" s="879">
        <f>[2]Hoja1!$B$52</f>
        <v>0.15833333333333333</v>
      </c>
      <c r="G920" s="869" t="s">
        <v>1062</v>
      </c>
      <c r="H920" s="869" t="s">
        <v>1258</v>
      </c>
      <c r="I920" s="869"/>
      <c r="J920" s="869" t="s">
        <v>560</v>
      </c>
      <c r="K920" s="880" t="s">
        <v>2264</v>
      </c>
    </row>
    <row r="921" spans="1:11" s="866" customFormat="1" ht="28.8" x14ac:dyDescent="0.3">
      <c r="A921" s="869" t="s">
        <v>2151</v>
      </c>
      <c r="B921" s="877">
        <f>'[1]PLAN DE DESARROLLO 2024 - 2027'!$M$4</f>
        <v>0.24028917333263158</v>
      </c>
      <c r="C921" s="869" t="s">
        <v>2154</v>
      </c>
      <c r="D921" s="878">
        <f>'[1]PLAN DE DESARROLLO 2024 - 2027'!$M$11</f>
        <v>0.24196521875000004</v>
      </c>
      <c r="E921" s="869" t="s">
        <v>1604</v>
      </c>
      <c r="F921" s="879">
        <f>[2]Hoja1!$B$48</f>
        <v>0.17574218750000001</v>
      </c>
      <c r="G921" s="869" t="s">
        <v>141</v>
      </c>
      <c r="H921" s="869" t="s">
        <v>142</v>
      </c>
      <c r="I921" s="869"/>
      <c r="J921" s="869" t="s">
        <v>12</v>
      </c>
      <c r="K921" s="880" t="s">
        <v>2264</v>
      </c>
    </row>
    <row r="922" spans="1:11" s="866" customFormat="1" ht="43.2" x14ac:dyDescent="0.3">
      <c r="A922" s="869" t="s">
        <v>2151</v>
      </c>
      <c r="B922" s="877">
        <f>'[1]PLAN DE DESARROLLO 2024 - 2027'!$M$4</f>
        <v>0.24028917333263158</v>
      </c>
      <c r="C922" s="869" t="s">
        <v>2154</v>
      </c>
      <c r="D922" s="878">
        <f>'[1]PLAN DE DESARROLLO 2024 - 2027'!$M$11</f>
        <v>0.24196521875000004</v>
      </c>
      <c r="E922" s="869" t="s">
        <v>1604</v>
      </c>
      <c r="F922" s="879">
        <f>[2]Hoja1!$B$48</f>
        <v>0.17574218750000001</v>
      </c>
      <c r="G922" s="869" t="s">
        <v>143</v>
      </c>
      <c r="H922" s="869" t="s">
        <v>144</v>
      </c>
      <c r="I922" s="869"/>
      <c r="J922" s="869" t="s">
        <v>12</v>
      </c>
      <c r="K922" s="880" t="s">
        <v>2264</v>
      </c>
    </row>
    <row r="923" spans="1:11" s="866" customFormat="1" ht="28.8" x14ac:dyDescent="0.3">
      <c r="A923" s="869" t="s">
        <v>2151</v>
      </c>
      <c r="B923" s="877">
        <f>'[1]PLAN DE DESARROLLO 2024 - 2027'!$M$4</f>
        <v>0.24028917333263158</v>
      </c>
      <c r="C923" s="869" t="s">
        <v>2154</v>
      </c>
      <c r="D923" s="878">
        <f>'[1]PLAN DE DESARROLLO 2024 - 2027'!$M$11</f>
        <v>0.24196521875000004</v>
      </c>
      <c r="E923" s="869" t="s">
        <v>1604</v>
      </c>
      <c r="F923" s="879">
        <f>[2]Hoja1!$B$48</f>
        <v>0.17574218750000001</v>
      </c>
      <c r="G923" s="869" t="s">
        <v>145</v>
      </c>
      <c r="H923" s="869" t="s">
        <v>146</v>
      </c>
      <c r="I923" s="869"/>
      <c r="J923" s="869" t="s">
        <v>12</v>
      </c>
      <c r="K923" s="880" t="s">
        <v>2264</v>
      </c>
    </row>
    <row r="924" spans="1:11" s="866" customFormat="1" x14ac:dyDescent="0.3">
      <c r="A924" s="869" t="s">
        <v>2076</v>
      </c>
      <c r="B924" s="881">
        <f>'[1]PLAN DE DESARROLLO 2024 - 2027'!$M$92</f>
        <v>0.25050860314981654</v>
      </c>
      <c r="C924" s="869" t="s">
        <v>2088</v>
      </c>
      <c r="D924" s="878">
        <f>'[1]PLAN DE DESARROLLO 2024 - 2027'!$M$96</f>
        <v>0.52752194656488549</v>
      </c>
      <c r="E924" s="869" t="s">
        <v>2091</v>
      </c>
      <c r="F924" s="879">
        <f>[2]Hoja1!$B$54</f>
        <v>0.21999999999999997</v>
      </c>
      <c r="G924" s="869" t="s">
        <v>697</v>
      </c>
      <c r="H924" s="869" t="s">
        <v>1404</v>
      </c>
      <c r="I924" s="869"/>
      <c r="J924" s="869" t="s">
        <v>698</v>
      </c>
      <c r="K924" s="880" t="s">
        <v>2264</v>
      </c>
    </row>
    <row r="925" spans="1:11" s="866" customFormat="1" ht="43.2" x14ac:dyDescent="0.3">
      <c r="A925" s="869" t="s">
        <v>2076</v>
      </c>
      <c r="B925" s="881">
        <f>'[1]PLAN DE DESARROLLO 2024 - 2027'!$M$92</f>
        <v>0.25050860314981654</v>
      </c>
      <c r="C925" s="869" t="s">
        <v>2088</v>
      </c>
      <c r="D925" s="878">
        <f>'[1]PLAN DE DESARROLLO 2024 - 2027'!$M$96</f>
        <v>0.52752194656488549</v>
      </c>
      <c r="E925" s="869" t="s">
        <v>2091</v>
      </c>
      <c r="F925" s="879">
        <f>[2]Hoja1!$B$54</f>
        <v>0.21999999999999997</v>
      </c>
      <c r="G925" s="869" t="s">
        <v>699</v>
      </c>
      <c r="H925" s="869" t="s">
        <v>1405</v>
      </c>
      <c r="I925" s="869"/>
      <c r="J925" s="869" t="s">
        <v>2092</v>
      </c>
      <c r="K925" s="880" t="s">
        <v>2264</v>
      </c>
    </row>
    <row r="926" spans="1:11" s="866" customFormat="1" ht="28.8" x14ac:dyDescent="0.3">
      <c r="A926" s="869" t="s">
        <v>2076</v>
      </c>
      <c r="B926" s="881">
        <f>'[1]PLAN DE DESARROLLO 2024 - 2027'!$M$92</f>
        <v>0.25050860314981654</v>
      </c>
      <c r="C926" s="869" t="s">
        <v>2088</v>
      </c>
      <c r="D926" s="878">
        <f>'[1]PLAN DE DESARROLLO 2024 - 2027'!$M$96</f>
        <v>0.52752194656488549</v>
      </c>
      <c r="E926" s="869" t="s">
        <v>2091</v>
      </c>
      <c r="F926" s="879">
        <f>[2]Hoja1!$B$54</f>
        <v>0.21999999999999997</v>
      </c>
      <c r="G926" s="869" t="s">
        <v>701</v>
      </c>
      <c r="H926" s="869" t="s">
        <v>1406</v>
      </c>
      <c r="I926" s="869"/>
      <c r="J926" s="869" t="s">
        <v>516</v>
      </c>
      <c r="K926" s="880" t="s">
        <v>2264</v>
      </c>
    </row>
    <row r="927" spans="1:11" s="866" customFormat="1" ht="28.8" x14ac:dyDescent="0.3">
      <c r="A927" s="869" t="s">
        <v>2151</v>
      </c>
      <c r="B927" s="877">
        <f>'[1]PLAN DE DESARROLLO 2024 - 2027'!$M$4</f>
        <v>0.24028917333263158</v>
      </c>
      <c r="C927" s="869" t="s">
        <v>2154</v>
      </c>
      <c r="D927" s="878">
        <f>'[1]PLAN DE DESARROLLO 2024 - 2027'!$M$11</f>
        <v>0.24196521875000004</v>
      </c>
      <c r="E927" s="869" t="s">
        <v>1604</v>
      </c>
      <c r="F927" s="879">
        <f>[2]Hoja1!$B$48</f>
        <v>0.17574218750000001</v>
      </c>
      <c r="G927" s="869" t="s">
        <v>147</v>
      </c>
      <c r="H927" s="869" t="s">
        <v>148</v>
      </c>
      <c r="I927" s="869"/>
      <c r="J927" s="869" t="s">
        <v>12</v>
      </c>
      <c r="K927" s="880" t="s">
        <v>2264</v>
      </c>
    </row>
    <row r="928" spans="1:11" s="866" customFormat="1" ht="43.2" x14ac:dyDescent="0.3">
      <c r="A928" s="869" t="s">
        <v>2151</v>
      </c>
      <c r="B928" s="877">
        <f>'[1]PLAN DE DESARROLLO 2024 - 2027'!$M$4</f>
        <v>0.24028917333263158</v>
      </c>
      <c r="C928" s="869" t="s">
        <v>2154</v>
      </c>
      <c r="D928" s="878">
        <f>'[1]PLAN DE DESARROLLO 2024 - 2027'!$M$11</f>
        <v>0.24196521875000004</v>
      </c>
      <c r="E928" s="869" t="s">
        <v>1604</v>
      </c>
      <c r="F928" s="879">
        <f>[2]Hoja1!$B$48</f>
        <v>0.17574218750000001</v>
      </c>
      <c r="G928" s="869" t="s">
        <v>149</v>
      </c>
      <c r="H928" s="869" t="s">
        <v>150</v>
      </c>
      <c r="I928" s="869"/>
      <c r="J928" s="869" t="s">
        <v>12</v>
      </c>
      <c r="K928" s="880" t="s">
        <v>2264</v>
      </c>
    </row>
    <row r="929" spans="1:11" s="866" customFormat="1" ht="28.8" x14ac:dyDescent="0.3">
      <c r="A929" s="869" t="s">
        <v>2151</v>
      </c>
      <c r="B929" s="877">
        <f>'[1]PLAN DE DESARROLLO 2024 - 2027'!$M$4</f>
        <v>0.24028917333263158</v>
      </c>
      <c r="C929" s="869" t="s">
        <v>2154</v>
      </c>
      <c r="D929" s="878">
        <f>'[1]PLAN DE DESARROLLO 2024 - 2027'!$M$11</f>
        <v>0.24196521875000004</v>
      </c>
      <c r="E929" s="869" t="s">
        <v>1604</v>
      </c>
      <c r="F929" s="879">
        <f>[2]Hoja1!$B$48</f>
        <v>0.17574218750000001</v>
      </c>
      <c r="G929" s="869" t="s">
        <v>151</v>
      </c>
      <c r="H929" s="869" t="s">
        <v>152</v>
      </c>
      <c r="I929" s="869"/>
      <c r="J929" s="869" t="s">
        <v>12</v>
      </c>
      <c r="K929" s="880" t="s">
        <v>2264</v>
      </c>
    </row>
    <row r="930" spans="1:11" s="866" customFormat="1" ht="43.2" x14ac:dyDescent="0.3">
      <c r="A930" s="869" t="s">
        <v>2151</v>
      </c>
      <c r="B930" s="877">
        <f>'[1]PLAN DE DESARROLLO 2024 - 2027'!$M$4</f>
        <v>0.24028917333263158</v>
      </c>
      <c r="C930" s="869" t="s">
        <v>2154</v>
      </c>
      <c r="D930" s="878">
        <f>'[1]PLAN DE DESARROLLO 2024 - 2027'!$M$11</f>
        <v>0.24196521875000004</v>
      </c>
      <c r="E930" s="869" t="s">
        <v>1605</v>
      </c>
      <c r="F930" s="879">
        <f>[2]Hoja1!$B$147</f>
        <v>0.1875</v>
      </c>
      <c r="G930" s="869" t="s">
        <v>153</v>
      </c>
      <c r="H930" s="869" t="s">
        <v>154</v>
      </c>
      <c r="I930" s="869"/>
      <c r="J930" s="869" t="s">
        <v>12</v>
      </c>
      <c r="K930" s="880" t="s">
        <v>2264</v>
      </c>
    </row>
    <row r="931" spans="1:11" s="866" customFormat="1" ht="28.8" x14ac:dyDescent="0.3">
      <c r="A931" s="869" t="s">
        <v>2151</v>
      </c>
      <c r="B931" s="877">
        <f>'[1]PLAN DE DESARROLLO 2024 - 2027'!$M$4</f>
        <v>0.24028917333263158</v>
      </c>
      <c r="C931" s="869" t="s">
        <v>2154</v>
      </c>
      <c r="D931" s="878">
        <f>'[1]PLAN DE DESARROLLO 2024 - 2027'!$M$11</f>
        <v>0.24196521875000004</v>
      </c>
      <c r="E931" s="869" t="s">
        <v>1605</v>
      </c>
      <c r="F931" s="879">
        <f>[2]Hoja1!$B$147</f>
        <v>0.1875</v>
      </c>
      <c r="G931" s="869" t="s">
        <v>155</v>
      </c>
      <c r="H931" s="869" t="s">
        <v>156</v>
      </c>
      <c r="I931" s="869"/>
      <c r="J931" s="869" t="s">
        <v>12</v>
      </c>
      <c r="K931" s="880" t="s">
        <v>2264</v>
      </c>
    </row>
    <row r="932" spans="1:11" s="866" customFormat="1" ht="28.8" x14ac:dyDescent="0.3">
      <c r="A932" s="869" t="s">
        <v>2151</v>
      </c>
      <c r="B932" s="877">
        <f>'[1]PLAN DE DESARROLLO 2024 - 2027'!$M$4</f>
        <v>0.24028917333263158</v>
      </c>
      <c r="C932" s="869" t="s">
        <v>2154</v>
      </c>
      <c r="D932" s="878">
        <f>'[1]PLAN DE DESARROLLO 2024 - 2027'!$M$11</f>
        <v>0.24196521875000004</v>
      </c>
      <c r="E932" s="869" t="s">
        <v>1605</v>
      </c>
      <c r="F932" s="879">
        <f>[2]Hoja1!$B$147</f>
        <v>0.1875</v>
      </c>
      <c r="G932" s="869" t="s">
        <v>157</v>
      </c>
      <c r="H932" s="869" t="s">
        <v>158</v>
      </c>
      <c r="I932" s="869"/>
      <c r="J932" s="869" t="s">
        <v>12</v>
      </c>
      <c r="K932" s="880" t="s">
        <v>2264</v>
      </c>
    </row>
    <row r="933" spans="1:11" s="866" customFormat="1" ht="28.8" x14ac:dyDescent="0.3">
      <c r="A933" s="869" t="s">
        <v>2151</v>
      </c>
      <c r="B933" s="877">
        <f>'[1]PLAN DE DESARROLLO 2024 - 2027'!$M$4</f>
        <v>0.24028917333263158</v>
      </c>
      <c r="C933" s="869" t="s">
        <v>2154</v>
      </c>
      <c r="D933" s="878">
        <f>'[1]PLAN DE DESARROLLO 2024 - 2027'!$M$11</f>
        <v>0.24196521875000004</v>
      </c>
      <c r="E933" s="869" t="s">
        <v>2201</v>
      </c>
      <c r="F933" s="879">
        <f>[2]Hoja1!$B$157</f>
        <v>0.55504000000000009</v>
      </c>
      <c r="G933" s="869" t="s">
        <v>56</v>
      </c>
      <c r="H933" s="869" t="s">
        <v>57</v>
      </c>
      <c r="I933" s="869"/>
      <c r="J933" s="869" t="s">
        <v>58</v>
      </c>
      <c r="K933" s="880" t="s">
        <v>2264</v>
      </c>
    </row>
    <row r="934" spans="1:11" s="866" customFormat="1" ht="28.8" x14ac:dyDescent="0.3">
      <c r="A934" s="869" t="s">
        <v>2151</v>
      </c>
      <c r="B934" s="877">
        <f>'[1]PLAN DE DESARROLLO 2024 - 2027'!$M$4</f>
        <v>0.24028917333263158</v>
      </c>
      <c r="C934" s="869" t="s">
        <v>2154</v>
      </c>
      <c r="D934" s="878">
        <f>'[1]PLAN DE DESARROLLO 2024 - 2027'!$M$11</f>
        <v>0.24196521875000004</v>
      </c>
      <c r="E934" s="869" t="s">
        <v>2201</v>
      </c>
      <c r="F934" s="879">
        <f>[2]Hoja1!$B$157</f>
        <v>0.55504000000000009</v>
      </c>
      <c r="G934" s="869" t="s">
        <v>59</v>
      </c>
      <c r="H934" s="869" t="s">
        <v>60</v>
      </c>
      <c r="I934" s="869"/>
      <c r="J934" s="869" t="s">
        <v>58</v>
      </c>
      <c r="K934" s="880" t="s">
        <v>2264</v>
      </c>
    </row>
    <row r="935" spans="1:11" s="866" customFormat="1" ht="43.2" x14ac:dyDescent="0.3">
      <c r="A935" s="869" t="s">
        <v>2151</v>
      </c>
      <c r="B935" s="877">
        <f>'[1]PLAN DE DESARROLLO 2024 - 2027'!$M$4</f>
        <v>0.24028917333263158</v>
      </c>
      <c r="C935" s="869" t="s">
        <v>2154</v>
      </c>
      <c r="D935" s="878">
        <f>'[1]PLAN DE DESARROLLO 2024 - 2027'!$M$11</f>
        <v>0.24196521875000004</v>
      </c>
      <c r="E935" s="869" t="s">
        <v>2201</v>
      </c>
      <c r="F935" s="879">
        <f>[2]Hoja1!$B$157</f>
        <v>0.55504000000000009</v>
      </c>
      <c r="G935" s="869" t="s">
        <v>61</v>
      </c>
      <c r="H935" s="869" t="s">
        <v>62</v>
      </c>
      <c r="I935" s="869"/>
      <c r="J935" s="869" t="s">
        <v>58</v>
      </c>
      <c r="K935" s="880" t="s">
        <v>2264</v>
      </c>
    </row>
    <row r="936" spans="1:11" s="866" customFormat="1" ht="43.2" x14ac:dyDescent="0.3">
      <c r="A936" s="869" t="s">
        <v>2151</v>
      </c>
      <c r="B936" s="877">
        <f>'[1]PLAN DE DESARROLLO 2024 - 2027'!$M$4</f>
        <v>0.24028917333263158</v>
      </c>
      <c r="C936" s="869" t="s">
        <v>2157</v>
      </c>
      <c r="D936" s="878">
        <f>'[1]PLAN DE DESARROLLO 2024 - 2027'!$M$20</f>
        <v>0.2170625911038922</v>
      </c>
      <c r="E936" s="869" t="s">
        <v>1630</v>
      </c>
      <c r="F936" s="879">
        <f>[2]Hoja1!$B$35</f>
        <v>0.21</v>
      </c>
      <c r="G936" s="869" t="s">
        <v>220</v>
      </c>
      <c r="H936" s="869" t="s">
        <v>221</v>
      </c>
      <c r="I936" s="869"/>
      <c r="J936" s="869" t="s">
        <v>516</v>
      </c>
      <c r="K936" s="880" t="s">
        <v>2264</v>
      </c>
    </row>
    <row r="937" spans="1:11" s="866" customFormat="1" ht="43.2" x14ac:dyDescent="0.3">
      <c r="A937" s="869" t="s">
        <v>2151</v>
      </c>
      <c r="B937" s="877">
        <f>'[1]PLAN DE DESARROLLO 2024 - 2027'!$M$4</f>
        <v>0.24028917333263158</v>
      </c>
      <c r="C937" s="869" t="s">
        <v>2157</v>
      </c>
      <c r="D937" s="878">
        <f>'[1]PLAN DE DESARROLLO 2024 - 2027'!$M$20</f>
        <v>0.2170625911038922</v>
      </c>
      <c r="E937" s="869" t="s">
        <v>1630</v>
      </c>
      <c r="F937" s="879">
        <f>[2]Hoja1!$B$35</f>
        <v>0.21</v>
      </c>
      <c r="G937" s="869" t="s">
        <v>223</v>
      </c>
      <c r="H937" s="869" t="s">
        <v>224</v>
      </c>
      <c r="I937" s="869"/>
      <c r="J937" s="869" t="s">
        <v>516</v>
      </c>
      <c r="K937" s="880" t="s">
        <v>2264</v>
      </c>
    </row>
    <row r="938" spans="1:11" s="866" customFormat="1" ht="43.2" x14ac:dyDescent="0.3">
      <c r="A938" s="869" t="s">
        <v>2076</v>
      </c>
      <c r="B938" s="881">
        <f>'[1]PLAN DE DESARROLLO 2024 - 2027'!$M$92</f>
        <v>0.25050860314981654</v>
      </c>
      <c r="C938" s="869" t="s">
        <v>2088</v>
      </c>
      <c r="D938" s="878">
        <f>'[1]PLAN DE DESARROLLO 2024 - 2027'!$M$96</f>
        <v>0.52752194656488549</v>
      </c>
      <c r="E938" s="869" t="s">
        <v>2093</v>
      </c>
      <c r="F938" s="879">
        <f>[2]Hoja1!$B$153</f>
        <v>0.6</v>
      </c>
      <c r="G938" s="869" t="s">
        <v>702</v>
      </c>
      <c r="H938" s="869" t="s">
        <v>1407</v>
      </c>
      <c r="I938" s="869"/>
      <c r="J938" s="869" t="s">
        <v>560</v>
      </c>
      <c r="K938" s="880" t="s">
        <v>2264</v>
      </c>
    </row>
    <row r="939" spans="1:11" s="866" customFormat="1" ht="28.8" x14ac:dyDescent="0.3">
      <c r="A939" s="869" t="s">
        <v>2076</v>
      </c>
      <c r="B939" s="881">
        <f>'[1]PLAN DE DESARROLLO 2024 - 2027'!$M$92</f>
        <v>0.25050860314981654</v>
      </c>
      <c r="C939" s="869" t="s">
        <v>2088</v>
      </c>
      <c r="D939" s="878">
        <f>'[1]PLAN DE DESARROLLO 2024 - 2027'!$M$96</f>
        <v>0.52752194656488549</v>
      </c>
      <c r="E939" s="869" t="s">
        <v>2093</v>
      </c>
      <c r="F939" s="879">
        <f>[2]Hoja1!$B$153</f>
        <v>0.6</v>
      </c>
      <c r="G939" s="869" t="s">
        <v>703</v>
      </c>
      <c r="H939" s="869" t="s">
        <v>1408</v>
      </c>
      <c r="I939" s="869"/>
      <c r="J939" s="869" t="s">
        <v>560</v>
      </c>
      <c r="K939" s="880" t="s">
        <v>2264</v>
      </c>
    </row>
    <row r="940" spans="1:11" s="866" customFormat="1" ht="28.8" x14ac:dyDescent="0.3">
      <c r="A940" s="869" t="s">
        <v>2076</v>
      </c>
      <c r="B940" s="881">
        <f>'[1]PLAN DE DESARROLLO 2024 - 2027'!$M$92</f>
        <v>0.25050860314981654</v>
      </c>
      <c r="C940" s="869" t="s">
        <v>2088</v>
      </c>
      <c r="D940" s="878">
        <f>'[1]PLAN DE DESARROLLO 2024 - 2027'!$M$96</f>
        <v>0.52752194656488549</v>
      </c>
      <c r="E940" s="869" t="s">
        <v>2093</v>
      </c>
      <c r="F940" s="879">
        <f>[2]Hoja1!$B$153</f>
        <v>0.6</v>
      </c>
      <c r="G940" s="869" t="s">
        <v>704</v>
      </c>
      <c r="H940" s="869" t="s">
        <v>1409</v>
      </c>
      <c r="I940" s="869"/>
      <c r="J940" s="869" t="s">
        <v>683</v>
      </c>
      <c r="K940" s="880" t="s">
        <v>2264</v>
      </c>
    </row>
    <row r="941" spans="1:11" s="866" customFormat="1" ht="43.2" x14ac:dyDescent="0.3">
      <c r="A941" s="869" t="s">
        <v>2076</v>
      </c>
      <c r="B941" s="881">
        <f>'[1]PLAN DE DESARROLLO 2024 - 2027'!$M$92</f>
        <v>0.25050860314981654</v>
      </c>
      <c r="C941" s="869" t="s">
        <v>2088</v>
      </c>
      <c r="D941" s="878">
        <f>'[1]PLAN DE DESARROLLO 2024 - 2027'!$M$96</f>
        <v>0.52752194656488549</v>
      </c>
      <c r="E941" s="869" t="s">
        <v>2093</v>
      </c>
      <c r="F941" s="879">
        <f>[2]Hoja1!$B$153</f>
        <v>0.6</v>
      </c>
      <c r="G941" s="869" t="s">
        <v>705</v>
      </c>
      <c r="H941" s="869" t="s">
        <v>1410</v>
      </c>
      <c r="I941" s="869"/>
      <c r="J941" s="869" t="s">
        <v>683</v>
      </c>
      <c r="K941" s="880" t="s">
        <v>2264</v>
      </c>
    </row>
    <row r="942" spans="1:11" s="866" customFormat="1" ht="28.8" x14ac:dyDescent="0.3">
      <c r="A942" s="869" t="s">
        <v>2076</v>
      </c>
      <c r="B942" s="881">
        <f>'[1]PLAN DE DESARROLLO 2024 - 2027'!$M$92</f>
        <v>0.25050860314981654</v>
      </c>
      <c r="C942" s="869" t="s">
        <v>2088</v>
      </c>
      <c r="D942" s="878">
        <f>'[1]PLAN DE DESARROLLO 2024 - 2027'!$M$96</f>
        <v>0.52752194656488549</v>
      </c>
      <c r="E942" s="869" t="s">
        <v>2089</v>
      </c>
      <c r="F942" s="879">
        <f>[2]Hoja1!$B$160</f>
        <v>0.85250000000000004</v>
      </c>
      <c r="G942" s="869" t="s">
        <v>690</v>
      </c>
      <c r="H942" s="869" t="s">
        <v>1398</v>
      </c>
      <c r="I942" s="869"/>
      <c r="J942" s="869" t="s">
        <v>683</v>
      </c>
      <c r="K942" s="880" t="s">
        <v>2264</v>
      </c>
    </row>
    <row r="943" spans="1:11" s="866" customFormat="1" ht="28.8" x14ac:dyDescent="0.3">
      <c r="A943" s="869" t="s">
        <v>2205</v>
      </c>
      <c r="B943" s="877">
        <f>'[1]PLAN DE DESARROLLO 2024 - 2027'!$M$46</f>
        <v>0.25251661967012345</v>
      </c>
      <c r="C943" s="869" t="s">
        <v>2248</v>
      </c>
      <c r="D943" s="878">
        <f>'[1]PLAN DE DESARROLLO 2024 - 2027'!$M$80</f>
        <v>0.28962755963439352</v>
      </c>
      <c r="E943" s="869" t="s">
        <v>2260</v>
      </c>
      <c r="F943" s="879">
        <f>[2]Hoja1!$B$26</f>
        <v>0.47766974358974362</v>
      </c>
      <c r="G943" s="869" t="s">
        <v>654</v>
      </c>
      <c r="H943" s="869" t="s">
        <v>655</v>
      </c>
      <c r="I943" s="869"/>
      <c r="J943" s="869" t="s">
        <v>620</v>
      </c>
      <c r="K943" s="880" t="s">
        <v>2264</v>
      </c>
    </row>
    <row r="944" spans="1:11" s="866" customFormat="1" ht="28.8" x14ac:dyDescent="0.3">
      <c r="A944" s="869" t="s">
        <v>2205</v>
      </c>
      <c r="B944" s="877">
        <f>'[1]PLAN DE DESARROLLO 2024 - 2027'!$M$46</f>
        <v>0.25251661967012345</v>
      </c>
      <c r="C944" s="869" t="s">
        <v>2248</v>
      </c>
      <c r="D944" s="878">
        <f>'[1]PLAN DE DESARROLLO 2024 - 2027'!$M$80</f>
        <v>0.28962755963439352</v>
      </c>
      <c r="E944" s="869" t="s">
        <v>2260</v>
      </c>
      <c r="F944" s="879">
        <f>[2]Hoja1!$B$26</f>
        <v>0.47766974358974362</v>
      </c>
      <c r="G944" s="869" t="s">
        <v>656</v>
      </c>
      <c r="H944" s="869" t="s">
        <v>657</v>
      </c>
      <c r="I944" s="869"/>
      <c r="J944" s="869" t="s">
        <v>620</v>
      </c>
      <c r="K944" s="880" t="s">
        <v>2264</v>
      </c>
    </row>
    <row r="945" spans="1:11" s="866" customFormat="1" ht="28.8" x14ac:dyDescent="0.3">
      <c r="A945" s="869" t="s">
        <v>2205</v>
      </c>
      <c r="B945" s="877">
        <f>'[1]PLAN DE DESARROLLO 2024 - 2027'!$M$46</f>
        <v>0.25251661967012345</v>
      </c>
      <c r="C945" s="869" t="s">
        <v>2248</v>
      </c>
      <c r="D945" s="878">
        <f>'[1]PLAN DE DESARROLLO 2024 - 2027'!$M$80</f>
        <v>0.28962755963439352</v>
      </c>
      <c r="E945" s="869" t="s">
        <v>2260</v>
      </c>
      <c r="F945" s="879">
        <f>[2]Hoja1!$B$26</f>
        <v>0.47766974358974362</v>
      </c>
      <c r="G945" s="869" t="s">
        <v>658</v>
      </c>
      <c r="H945" s="869" t="s">
        <v>659</v>
      </c>
      <c r="I945" s="869"/>
      <c r="J945" s="869" t="s">
        <v>620</v>
      </c>
      <c r="K945" s="880" t="s">
        <v>2264</v>
      </c>
    </row>
    <row r="946" spans="1:11" s="866" customFormat="1" ht="28.8" x14ac:dyDescent="0.3">
      <c r="A946" s="869" t="s">
        <v>2205</v>
      </c>
      <c r="B946" s="877">
        <f>'[1]PLAN DE DESARROLLO 2024 - 2027'!$M$46</f>
        <v>0.25251661967012345</v>
      </c>
      <c r="C946" s="869" t="s">
        <v>2248</v>
      </c>
      <c r="D946" s="878">
        <f>'[1]PLAN DE DESARROLLO 2024 - 2027'!$M$80</f>
        <v>0.28962755963439352</v>
      </c>
      <c r="E946" s="869" t="s">
        <v>2250</v>
      </c>
      <c r="F946" s="879">
        <f>[2]Hoja1!$B$64</f>
        <v>0.18225927561837454</v>
      </c>
      <c r="G946" s="869" t="s">
        <v>627</v>
      </c>
      <c r="H946" s="869" t="s">
        <v>628</v>
      </c>
      <c r="I946" s="869"/>
      <c r="J946" s="869" t="s">
        <v>620</v>
      </c>
      <c r="K946" s="880" t="s">
        <v>2264</v>
      </c>
    </row>
    <row r="947" spans="1:11" s="866" customFormat="1" ht="28.8" x14ac:dyDescent="0.3">
      <c r="A947" s="869" t="s">
        <v>2205</v>
      </c>
      <c r="B947" s="877">
        <f>'[1]PLAN DE DESARROLLO 2024 - 2027'!$M$46</f>
        <v>0.25251661967012345</v>
      </c>
      <c r="C947" s="869" t="s">
        <v>2248</v>
      </c>
      <c r="D947" s="878">
        <f>'[1]PLAN DE DESARROLLO 2024 - 2027'!$M$80</f>
        <v>0.28962755963439352</v>
      </c>
      <c r="E947" s="869" t="s">
        <v>2250</v>
      </c>
      <c r="F947" s="879">
        <f>[2]Hoja1!$B$64</f>
        <v>0.18225927561837454</v>
      </c>
      <c r="G947" s="869" t="s">
        <v>629</v>
      </c>
      <c r="H947" s="869" t="s">
        <v>630</v>
      </c>
      <c r="I947" s="869"/>
      <c r="J947" s="869" t="s">
        <v>620</v>
      </c>
      <c r="K947" s="880" t="s">
        <v>2264</v>
      </c>
    </row>
    <row r="948" spans="1:11" s="866" customFormat="1" ht="28.8" x14ac:dyDescent="0.3">
      <c r="A948" s="869" t="s">
        <v>2205</v>
      </c>
      <c r="B948" s="877">
        <f>'[1]PLAN DE DESARROLLO 2024 - 2027'!$M$46</f>
        <v>0.25251661967012345</v>
      </c>
      <c r="C948" s="869" t="s">
        <v>2248</v>
      </c>
      <c r="D948" s="878">
        <f>'[1]PLAN DE DESARROLLO 2024 - 2027'!$M$80</f>
        <v>0.28962755963439352</v>
      </c>
      <c r="E948" s="869" t="s">
        <v>2251</v>
      </c>
      <c r="F948" s="879">
        <f>[2]Hoja1!$B$72</f>
        <v>0.35626279069767441</v>
      </c>
      <c r="G948" s="869" t="s">
        <v>631</v>
      </c>
      <c r="H948" s="869" t="s">
        <v>632</v>
      </c>
      <c r="I948" s="869"/>
      <c r="J948" s="869" t="s">
        <v>620</v>
      </c>
      <c r="K948" s="880" t="s">
        <v>2264</v>
      </c>
    </row>
    <row r="949" spans="1:11" s="866" customFormat="1" ht="28.8" x14ac:dyDescent="0.3">
      <c r="A949" s="869" t="s">
        <v>2205</v>
      </c>
      <c r="B949" s="877">
        <f>'[1]PLAN DE DESARROLLO 2024 - 2027'!$M$46</f>
        <v>0.25251661967012345</v>
      </c>
      <c r="C949" s="869" t="s">
        <v>2248</v>
      </c>
      <c r="D949" s="878">
        <f>'[1]PLAN DE DESARROLLO 2024 - 2027'!$M$80</f>
        <v>0.28962755963439352</v>
      </c>
      <c r="E949" s="869" t="s">
        <v>2251</v>
      </c>
      <c r="F949" s="879">
        <f>[2]Hoja1!$B$72</f>
        <v>0.35626279069767441</v>
      </c>
      <c r="G949" s="869" t="s">
        <v>633</v>
      </c>
      <c r="H949" s="869" t="s">
        <v>634</v>
      </c>
      <c r="I949" s="869"/>
      <c r="J949" s="869" t="s">
        <v>620</v>
      </c>
      <c r="K949" s="880" t="s">
        <v>2264</v>
      </c>
    </row>
    <row r="950" spans="1:11" s="866" customFormat="1" ht="28.8" x14ac:dyDescent="0.3">
      <c r="A950" s="869" t="s">
        <v>2205</v>
      </c>
      <c r="B950" s="877">
        <f>'[1]PLAN DE DESARROLLO 2024 - 2027'!$M$46</f>
        <v>0.25251661967012345</v>
      </c>
      <c r="C950" s="869" t="s">
        <v>2248</v>
      </c>
      <c r="D950" s="878">
        <f>'[1]PLAN DE DESARROLLO 2024 - 2027'!$M$80</f>
        <v>0.28962755963439352</v>
      </c>
      <c r="E950" s="869" t="s">
        <v>2252</v>
      </c>
      <c r="F950" s="879">
        <f>[2]Hoja1!$B$74</f>
        <v>0.2885664090262971</v>
      </c>
      <c r="G950" s="869" t="s">
        <v>635</v>
      </c>
      <c r="H950" s="869" t="s">
        <v>636</v>
      </c>
      <c r="I950" s="869"/>
      <c r="J950" s="869" t="s">
        <v>620</v>
      </c>
      <c r="K950" s="880" t="s">
        <v>2264</v>
      </c>
    </row>
    <row r="951" spans="1:11" s="866" customFormat="1" ht="28.8" x14ac:dyDescent="0.3">
      <c r="A951" s="869" t="s">
        <v>2205</v>
      </c>
      <c r="B951" s="877">
        <f>'[1]PLAN DE DESARROLLO 2024 - 2027'!$M$46</f>
        <v>0.25251661967012345</v>
      </c>
      <c r="C951" s="869" t="s">
        <v>2248</v>
      </c>
      <c r="D951" s="878">
        <f>'[1]PLAN DE DESARROLLO 2024 - 2027'!$M$80</f>
        <v>0.28962755963439352</v>
      </c>
      <c r="E951" s="869" t="s">
        <v>2252</v>
      </c>
      <c r="F951" s="879">
        <f>[2]Hoja1!$B$74</f>
        <v>0.2885664090262971</v>
      </c>
      <c r="G951" s="869" t="s">
        <v>637</v>
      </c>
      <c r="H951" s="869" t="s">
        <v>638</v>
      </c>
      <c r="I951" s="869"/>
      <c r="J951" s="869" t="s">
        <v>620</v>
      </c>
      <c r="K951" s="880" t="s">
        <v>2264</v>
      </c>
    </row>
    <row r="952" spans="1:11" s="866" customFormat="1" ht="28.8" x14ac:dyDescent="0.3">
      <c r="A952" s="869" t="s">
        <v>2205</v>
      </c>
      <c r="B952" s="877">
        <f>'[1]PLAN DE DESARROLLO 2024 - 2027'!$M$46</f>
        <v>0.25251661967012345</v>
      </c>
      <c r="C952" s="869" t="s">
        <v>2248</v>
      </c>
      <c r="D952" s="878">
        <f>'[1]PLAN DE DESARROLLO 2024 - 2027'!$M$80</f>
        <v>0.28962755963439352</v>
      </c>
      <c r="E952" s="869" t="s">
        <v>2252</v>
      </c>
      <c r="F952" s="879">
        <f>[2]Hoja1!$B$74</f>
        <v>0.2885664090262971</v>
      </c>
      <c r="G952" s="869" t="s">
        <v>2253</v>
      </c>
      <c r="H952" s="869" t="s">
        <v>2254</v>
      </c>
      <c r="I952" s="869"/>
      <c r="J952" s="869" t="s">
        <v>2255</v>
      </c>
      <c r="K952" s="880" t="s">
        <v>2264</v>
      </c>
    </row>
    <row r="953" spans="1:11" s="866" customFormat="1" ht="28.8" x14ac:dyDescent="0.3">
      <c r="A953" s="869" t="s">
        <v>2205</v>
      </c>
      <c r="B953" s="877">
        <f>'[1]PLAN DE DESARROLLO 2024 - 2027'!$M$46</f>
        <v>0.25251661967012345</v>
      </c>
      <c r="C953" s="869" t="s">
        <v>2248</v>
      </c>
      <c r="D953" s="878">
        <f>'[1]PLAN DE DESARROLLO 2024 - 2027'!$M$80</f>
        <v>0.28962755963439352</v>
      </c>
      <c r="E953" s="869" t="s">
        <v>2252</v>
      </c>
      <c r="F953" s="879">
        <f>[2]Hoja1!$B$74</f>
        <v>0.2885664090262971</v>
      </c>
      <c r="G953" s="869" t="s">
        <v>2256</v>
      </c>
      <c r="H953" s="869" t="s">
        <v>2257</v>
      </c>
      <c r="I953" s="869"/>
      <c r="J953" s="869" t="s">
        <v>620</v>
      </c>
      <c r="K953" s="880" t="s">
        <v>2264</v>
      </c>
    </row>
    <row r="954" spans="1:11" s="866" customFormat="1" ht="43.2" x14ac:dyDescent="0.3">
      <c r="A954" s="869" t="s">
        <v>2205</v>
      </c>
      <c r="B954" s="877">
        <f>'[1]PLAN DE DESARROLLO 2024 - 2027'!$M$46</f>
        <v>0.25251661967012345</v>
      </c>
      <c r="C954" s="869" t="s">
        <v>2248</v>
      </c>
      <c r="D954" s="878">
        <f>'[1]PLAN DE DESARROLLO 2024 - 2027'!$M$80</f>
        <v>0.28962755963439352</v>
      </c>
      <c r="E954" s="869" t="s">
        <v>2252</v>
      </c>
      <c r="F954" s="879">
        <f>[2]Hoja1!$B$74</f>
        <v>0.2885664090262971</v>
      </c>
      <c r="G954" s="869" t="s">
        <v>2258</v>
      </c>
      <c r="H954" s="869" t="s">
        <v>645</v>
      </c>
      <c r="I954" s="869"/>
      <c r="J954" s="869" t="s">
        <v>2255</v>
      </c>
      <c r="K954" s="880" t="s">
        <v>2264</v>
      </c>
    </row>
    <row r="955" spans="1:11" s="866" customFormat="1" ht="28.8" x14ac:dyDescent="0.3">
      <c r="A955" s="869" t="s">
        <v>2118</v>
      </c>
      <c r="B955" s="881">
        <f>'[1]PLAN DE DESARROLLO 2024 - 2027'!$M$161</f>
        <v>0.24647581985093744</v>
      </c>
      <c r="C955" s="869" t="s">
        <v>2136</v>
      </c>
      <c r="D955" s="878">
        <f>'[1]PLAN DE DESARROLLO 2024 - 2027'!$M$178</f>
        <v>0.30658085759781617</v>
      </c>
      <c r="E955" s="869" t="s">
        <v>1831</v>
      </c>
      <c r="F955" s="879">
        <f>[2]Hoja1!$B$61</f>
        <v>0.26875000000000004</v>
      </c>
      <c r="G955" s="869" t="s">
        <v>1009</v>
      </c>
      <c r="H955" s="869" t="s">
        <v>1208</v>
      </c>
      <c r="I955" s="869"/>
      <c r="J955" s="869" t="s">
        <v>998</v>
      </c>
      <c r="K955" s="880" t="s">
        <v>2264</v>
      </c>
    </row>
    <row r="956" spans="1:11" s="866" customFormat="1" ht="28.8" x14ac:dyDescent="0.3">
      <c r="A956" s="869" t="s">
        <v>2118</v>
      </c>
      <c r="B956" s="881">
        <f>'[1]PLAN DE DESARROLLO 2024 - 2027'!$M$161</f>
        <v>0.24647581985093744</v>
      </c>
      <c r="C956" s="869" t="s">
        <v>2136</v>
      </c>
      <c r="D956" s="878">
        <f>'[1]PLAN DE DESARROLLO 2024 - 2027'!$M$178</f>
        <v>0.30658085759781617</v>
      </c>
      <c r="E956" s="869" t="s">
        <v>1831</v>
      </c>
      <c r="F956" s="879">
        <f>[2]Hoja1!$B$61</f>
        <v>0.26875000000000004</v>
      </c>
      <c r="G956" s="869" t="s">
        <v>1010</v>
      </c>
      <c r="H956" s="869" t="s">
        <v>1209</v>
      </c>
      <c r="I956" s="869"/>
      <c r="J956" s="869" t="s">
        <v>998</v>
      </c>
      <c r="K956" s="880" t="s">
        <v>2264</v>
      </c>
    </row>
    <row r="957" spans="1:11" s="866" customFormat="1" ht="28.8" x14ac:dyDescent="0.3">
      <c r="A957" s="869" t="s">
        <v>2205</v>
      </c>
      <c r="B957" s="877">
        <f>'[1]PLAN DE DESARROLLO 2024 - 2027'!$M$46</f>
        <v>0.25251661967012345</v>
      </c>
      <c r="C957" s="869" t="s">
        <v>2248</v>
      </c>
      <c r="D957" s="878">
        <f>'[1]PLAN DE DESARROLLO 2024 - 2027'!$M$80</f>
        <v>0.28962755963439352</v>
      </c>
      <c r="E957" s="869" t="s">
        <v>2259</v>
      </c>
      <c r="F957" s="879">
        <f>[2]Hoja1!$B$75</f>
        <v>0.25970491803278689</v>
      </c>
      <c r="G957" s="869" t="s">
        <v>646</v>
      </c>
      <c r="H957" s="869" t="s">
        <v>647</v>
      </c>
      <c r="I957" s="869"/>
      <c r="J957" s="869" t="s">
        <v>620</v>
      </c>
      <c r="K957" s="880" t="s">
        <v>2264</v>
      </c>
    </row>
    <row r="958" spans="1:11" s="866" customFormat="1" ht="28.8" x14ac:dyDescent="0.3">
      <c r="A958" s="869" t="s">
        <v>2205</v>
      </c>
      <c r="B958" s="877">
        <f>'[1]PLAN DE DESARROLLO 2024 - 2027'!$M$46</f>
        <v>0.25251661967012345</v>
      </c>
      <c r="C958" s="869" t="s">
        <v>2248</v>
      </c>
      <c r="D958" s="878">
        <f>'[1]PLAN DE DESARROLLO 2024 - 2027'!$M$80</f>
        <v>0.28962755963439352</v>
      </c>
      <c r="E958" s="869" t="s">
        <v>2249</v>
      </c>
      <c r="F958" s="879">
        <f>[2]Hoja1!$B$79</f>
        <v>0.29583333333333334</v>
      </c>
      <c r="G958" s="869" t="s">
        <v>618</v>
      </c>
      <c r="H958" s="869" t="s">
        <v>619</v>
      </c>
      <c r="I958" s="869"/>
      <c r="J958" s="869" t="s">
        <v>620</v>
      </c>
      <c r="K958" s="880" t="s">
        <v>2264</v>
      </c>
    </row>
    <row r="959" spans="1:11" s="866" customFormat="1" ht="28.8" x14ac:dyDescent="0.3">
      <c r="A959" s="869" t="s">
        <v>2205</v>
      </c>
      <c r="B959" s="877">
        <f>'[1]PLAN DE DESARROLLO 2024 - 2027'!$M$46</f>
        <v>0.25251661967012345</v>
      </c>
      <c r="C959" s="869" t="s">
        <v>2248</v>
      </c>
      <c r="D959" s="878">
        <f>'[1]PLAN DE DESARROLLO 2024 - 2027'!$M$80</f>
        <v>0.28962755963439352</v>
      </c>
      <c r="E959" s="869" t="s">
        <v>2249</v>
      </c>
      <c r="F959" s="879">
        <f>[2]Hoja1!$B$79</f>
        <v>0.29583333333333334</v>
      </c>
      <c r="G959" s="869" t="s">
        <v>621</v>
      </c>
      <c r="H959" s="869" t="s">
        <v>622</v>
      </c>
      <c r="I959" s="869"/>
      <c r="J959" s="869" t="s">
        <v>620</v>
      </c>
      <c r="K959" s="880" t="s">
        <v>2264</v>
      </c>
    </row>
    <row r="960" spans="1:11" s="866" customFormat="1" ht="28.8" x14ac:dyDescent="0.3">
      <c r="A960" s="869" t="s">
        <v>2205</v>
      </c>
      <c r="B960" s="877">
        <f>'[1]PLAN DE DESARROLLO 2024 - 2027'!$M$46</f>
        <v>0.25251661967012345</v>
      </c>
      <c r="C960" s="869" t="s">
        <v>2248</v>
      </c>
      <c r="D960" s="878">
        <f>'[1]PLAN DE DESARROLLO 2024 - 2027'!$M$80</f>
        <v>0.28962755963439352</v>
      </c>
      <c r="E960" s="869" t="s">
        <v>2249</v>
      </c>
      <c r="F960" s="879">
        <f>[2]Hoja1!$B$79</f>
        <v>0.29583333333333334</v>
      </c>
      <c r="G960" s="869" t="s">
        <v>623</v>
      </c>
      <c r="H960" s="869" t="s">
        <v>624</v>
      </c>
      <c r="I960" s="869"/>
      <c r="J960" s="869" t="s">
        <v>620</v>
      </c>
      <c r="K960" s="880" t="s">
        <v>2264</v>
      </c>
    </row>
    <row r="961" spans="1:11" s="866" customFormat="1" ht="28.8" x14ac:dyDescent="0.3">
      <c r="A961" s="869" t="s">
        <v>2076</v>
      </c>
      <c r="B961" s="881">
        <f>'[1]PLAN DE DESARROLLO 2024 - 2027'!$M$92</f>
        <v>0.25050860314981654</v>
      </c>
      <c r="C961" s="869" t="s">
        <v>2088</v>
      </c>
      <c r="D961" s="878">
        <f>'[1]PLAN DE DESARROLLO 2024 - 2027'!$M$96</f>
        <v>0.52752194656488549</v>
      </c>
      <c r="E961" s="869" t="s">
        <v>2089</v>
      </c>
      <c r="F961" s="879">
        <f>[2]Hoja1!$B$160</f>
        <v>0.85250000000000004</v>
      </c>
      <c r="G961" s="869" t="s">
        <v>691</v>
      </c>
      <c r="H961" s="869" t="s">
        <v>1399</v>
      </c>
      <c r="I961" s="869"/>
      <c r="J961" s="869" t="s">
        <v>683</v>
      </c>
      <c r="K961" s="880" t="s">
        <v>2264</v>
      </c>
    </row>
    <row r="962" spans="1:11" s="866" customFormat="1" ht="28.8" x14ac:dyDescent="0.3">
      <c r="A962" s="869" t="s">
        <v>2076</v>
      </c>
      <c r="B962" s="881">
        <f>'[1]PLAN DE DESARROLLO 2024 - 2027'!$M$92</f>
        <v>0.25050860314981654</v>
      </c>
      <c r="C962" s="869" t="s">
        <v>2088</v>
      </c>
      <c r="D962" s="878">
        <f>'[1]PLAN DE DESARROLLO 2024 - 2027'!$M$96</f>
        <v>0.52752194656488549</v>
      </c>
      <c r="E962" s="869" t="s">
        <v>2089</v>
      </c>
      <c r="F962" s="879">
        <f>[2]Hoja1!$B$160</f>
        <v>0.85250000000000004</v>
      </c>
      <c r="G962" s="869" t="s">
        <v>692</v>
      </c>
      <c r="H962" s="869" t="s">
        <v>1400</v>
      </c>
      <c r="I962" s="869"/>
      <c r="J962" s="869" t="s">
        <v>683</v>
      </c>
      <c r="K962" s="880" t="s">
        <v>2264</v>
      </c>
    </row>
    <row r="963" spans="1:11" s="866" customFormat="1" ht="28.8" x14ac:dyDescent="0.3">
      <c r="A963" s="869" t="s">
        <v>2076</v>
      </c>
      <c r="B963" s="881">
        <f>'[1]PLAN DE DESARROLLO 2024 - 2027'!$M$92</f>
        <v>0.25050860314981654</v>
      </c>
      <c r="C963" s="869" t="s">
        <v>2088</v>
      </c>
      <c r="D963" s="878">
        <f>'[1]PLAN DE DESARROLLO 2024 - 2027'!$M$96</f>
        <v>0.52752194656488549</v>
      </c>
      <c r="E963" s="869" t="s">
        <v>2089</v>
      </c>
      <c r="F963" s="879">
        <f>[2]Hoja1!$B$160</f>
        <v>0.85250000000000004</v>
      </c>
      <c r="G963" s="869" t="s">
        <v>693</v>
      </c>
      <c r="H963" s="869" t="s">
        <v>1401</v>
      </c>
      <c r="I963" s="869"/>
      <c r="J963" s="869" t="s">
        <v>683</v>
      </c>
      <c r="K963" s="880" t="s">
        <v>2264</v>
      </c>
    </row>
    <row r="964" spans="1:11" s="866" customFormat="1" x14ac:dyDescent="0.3">
      <c r="A964" s="869" t="s">
        <v>2076</v>
      </c>
      <c r="B964" s="881">
        <f>'[1]PLAN DE DESARROLLO 2024 - 2027'!$M$92</f>
        <v>0.25050860314981654</v>
      </c>
      <c r="C964" s="869" t="s">
        <v>2077</v>
      </c>
      <c r="D964" s="878">
        <f>'[1]PLAN DE DESARROLLO 2024 - 2027'!$M$105</f>
        <v>0.1233525</v>
      </c>
      <c r="E964" s="869" t="s">
        <v>2098</v>
      </c>
      <c r="F964" s="879">
        <f>[2]Hoja1!$B$12</f>
        <v>7.375000000000001E-2</v>
      </c>
      <c r="G964" s="869" t="s">
        <v>715</v>
      </c>
      <c r="H964" s="869" t="s">
        <v>1419</v>
      </c>
      <c r="I964" s="869"/>
      <c r="J964" s="869" t="s">
        <v>683</v>
      </c>
      <c r="K964" s="880" t="s">
        <v>2264</v>
      </c>
    </row>
    <row r="965" spans="1:11" s="866" customFormat="1" ht="28.8" x14ac:dyDescent="0.3">
      <c r="A965" s="869" t="s">
        <v>2076</v>
      </c>
      <c r="B965" s="881">
        <f>'[1]PLAN DE DESARROLLO 2024 - 2027'!$M$92</f>
        <v>0.25050860314981654</v>
      </c>
      <c r="C965" s="869" t="s">
        <v>2077</v>
      </c>
      <c r="D965" s="878">
        <f>'[1]PLAN DE DESARROLLO 2024 - 2027'!$M$105</f>
        <v>0.1233525</v>
      </c>
      <c r="E965" s="869" t="s">
        <v>2098</v>
      </c>
      <c r="F965" s="879">
        <f>[2]Hoja1!$B$12</f>
        <v>7.375000000000001E-2</v>
      </c>
      <c r="G965" s="869" t="s">
        <v>716</v>
      </c>
      <c r="H965" s="869" t="s">
        <v>1420</v>
      </c>
      <c r="I965" s="869"/>
      <c r="J965" s="869" t="s">
        <v>683</v>
      </c>
      <c r="K965" s="880" t="s">
        <v>2264</v>
      </c>
    </row>
    <row r="966" spans="1:11" s="866" customFormat="1" ht="28.8" x14ac:dyDescent="0.3">
      <c r="A966" s="869" t="s">
        <v>2076</v>
      </c>
      <c r="B966" s="881">
        <f>'[1]PLAN DE DESARROLLO 2024 - 2027'!$M$92</f>
        <v>0.25050860314981654</v>
      </c>
      <c r="C966" s="869" t="s">
        <v>2077</v>
      </c>
      <c r="D966" s="878">
        <f>'[1]PLAN DE DESARROLLO 2024 - 2027'!$M$105</f>
        <v>0.1233525</v>
      </c>
      <c r="E966" s="869" t="s">
        <v>2098</v>
      </c>
      <c r="F966" s="879">
        <f>[2]Hoja1!$B$12</f>
        <v>7.375000000000001E-2</v>
      </c>
      <c r="G966" s="869" t="s">
        <v>717</v>
      </c>
      <c r="H966" s="869" t="s">
        <v>1421</v>
      </c>
      <c r="I966" s="869"/>
      <c r="J966" s="869" t="s">
        <v>683</v>
      </c>
      <c r="K966" s="880" t="s">
        <v>2264</v>
      </c>
    </row>
    <row r="967" spans="1:11" s="866" customFormat="1" ht="28.8" x14ac:dyDescent="0.3">
      <c r="A967" s="869" t="s">
        <v>2076</v>
      </c>
      <c r="B967" s="881">
        <f>'[1]PLAN DE DESARROLLO 2024 - 2027'!$M$92</f>
        <v>0.25050860314981654</v>
      </c>
      <c r="C967" s="869" t="s">
        <v>2077</v>
      </c>
      <c r="D967" s="878">
        <f>'[1]PLAN DE DESARROLLO 2024 - 2027'!$M$105</f>
        <v>0.1233525</v>
      </c>
      <c r="E967" s="869" t="s">
        <v>2098</v>
      </c>
      <c r="F967" s="879">
        <f>[2]Hoja1!$B$12</f>
        <v>7.375000000000001E-2</v>
      </c>
      <c r="G967" s="869" t="s">
        <v>718</v>
      </c>
      <c r="H967" s="869" t="s">
        <v>1422</v>
      </c>
      <c r="I967" s="869"/>
      <c r="J967" s="869" t="s">
        <v>683</v>
      </c>
      <c r="K967" s="880" t="s">
        <v>2264</v>
      </c>
    </row>
    <row r="968" spans="1:11" s="866" customFormat="1" ht="57.6" x14ac:dyDescent="0.3">
      <c r="A968" s="869" t="s">
        <v>2076</v>
      </c>
      <c r="B968" s="881">
        <f>'[1]PLAN DE DESARROLLO 2024 - 2027'!$M$92</f>
        <v>0.25050860314981654</v>
      </c>
      <c r="C968" s="869" t="s">
        <v>2077</v>
      </c>
      <c r="D968" s="878">
        <f>'[1]PLAN DE DESARROLLO 2024 - 2027'!$M$105</f>
        <v>0.1233525</v>
      </c>
      <c r="E968" s="869" t="s">
        <v>2098</v>
      </c>
      <c r="F968" s="879">
        <f>[2]Hoja1!$B$12</f>
        <v>7.375000000000001E-2</v>
      </c>
      <c r="G968" s="869" t="s">
        <v>719</v>
      </c>
      <c r="H968" s="869" t="s">
        <v>1423</v>
      </c>
      <c r="I968" s="869"/>
      <c r="J968" s="869" t="s">
        <v>2099</v>
      </c>
      <c r="K968" s="880" t="s">
        <v>2264</v>
      </c>
    </row>
    <row r="969" spans="1:11" s="866" customFormat="1" ht="28.8" x14ac:dyDescent="0.3">
      <c r="A969" s="869" t="s">
        <v>2076</v>
      </c>
      <c r="B969" s="881">
        <f>'[1]PLAN DE DESARROLLO 2024 - 2027'!$M$92</f>
        <v>0.25050860314981654</v>
      </c>
      <c r="C969" s="869" t="s">
        <v>2077</v>
      </c>
      <c r="D969" s="878">
        <f>'[1]PLAN DE DESARROLLO 2024 - 2027'!$M$105</f>
        <v>0.1233525</v>
      </c>
      <c r="E969" s="869" t="s">
        <v>2098</v>
      </c>
      <c r="F969" s="879">
        <f>[2]Hoja1!$B$12</f>
        <v>7.375000000000001E-2</v>
      </c>
      <c r="G969" s="869" t="s">
        <v>2100</v>
      </c>
      <c r="H969" s="869" t="s">
        <v>2101</v>
      </c>
      <c r="I969" s="869"/>
      <c r="J969" s="869" t="s">
        <v>683</v>
      </c>
      <c r="K969" s="880" t="s">
        <v>2264</v>
      </c>
    </row>
    <row r="970" spans="1:11" s="866" customFormat="1" ht="28.8" x14ac:dyDescent="0.3">
      <c r="A970" s="869" t="s">
        <v>2205</v>
      </c>
      <c r="B970" s="877">
        <f>'[1]PLAN DE DESARROLLO 2024 - 2027'!$M$46</f>
        <v>0.25251661967012345</v>
      </c>
      <c r="C970" s="869" t="s">
        <v>2248</v>
      </c>
      <c r="D970" s="878">
        <f>'[1]PLAN DE DESARROLLO 2024 - 2027'!$M$80</f>
        <v>0.28962755963439352</v>
      </c>
      <c r="E970" s="869" t="s">
        <v>2249</v>
      </c>
      <c r="F970" s="879">
        <f>[2]Hoja1!$B$79</f>
        <v>0.29583333333333334</v>
      </c>
      <c r="G970" s="869" t="s">
        <v>625</v>
      </c>
      <c r="H970" s="869" t="s">
        <v>626</v>
      </c>
      <c r="I970" s="869"/>
      <c r="J970" s="869" t="s">
        <v>620</v>
      </c>
      <c r="K970" s="880" t="s">
        <v>2264</v>
      </c>
    </row>
    <row r="971" spans="1:11" s="866" customFormat="1" ht="43.2" x14ac:dyDescent="0.3">
      <c r="A971" s="869" t="s">
        <v>2205</v>
      </c>
      <c r="B971" s="877">
        <f>'[1]PLAN DE DESARROLLO 2024 - 2027'!$M$46</f>
        <v>0.25251661967012345</v>
      </c>
      <c r="C971" s="869" t="s">
        <v>2248</v>
      </c>
      <c r="D971" s="878">
        <f>'[1]PLAN DE DESARROLLO 2024 - 2027'!$M$80</f>
        <v>0.28962755963439352</v>
      </c>
      <c r="E971" s="869" t="s">
        <v>1677</v>
      </c>
      <c r="F971" s="879">
        <f>[2]Hoja1!$B$125</f>
        <v>0.3529713888888889</v>
      </c>
      <c r="G971" s="869" t="s">
        <v>648</v>
      </c>
      <c r="H971" s="869" t="s">
        <v>649</v>
      </c>
      <c r="I971" s="869"/>
      <c r="J971" s="869" t="s">
        <v>620</v>
      </c>
      <c r="K971" s="880" t="s">
        <v>2264</v>
      </c>
    </row>
    <row r="972" spans="1:11" s="866" customFormat="1" x14ac:dyDescent="0.3">
      <c r="A972" s="869" t="s">
        <v>2076</v>
      </c>
      <c r="B972" s="881">
        <f>'[1]PLAN DE DESARROLLO 2024 - 2027'!$M$92</f>
        <v>0.25050860314981654</v>
      </c>
      <c r="C972" s="869" t="s">
        <v>2077</v>
      </c>
      <c r="D972" s="878">
        <f>'[1]PLAN DE DESARROLLO 2024 - 2027'!$M$105</f>
        <v>0.1233525</v>
      </c>
      <c r="E972" s="869" t="s">
        <v>2098</v>
      </c>
      <c r="F972" s="879">
        <f>[2]Hoja1!$B$12</f>
        <v>7.375000000000001E-2</v>
      </c>
      <c r="G972" s="869" t="s">
        <v>722</v>
      </c>
      <c r="H972" s="869" t="s">
        <v>1425</v>
      </c>
      <c r="I972" s="869"/>
      <c r="J972" s="869" t="s">
        <v>516</v>
      </c>
      <c r="K972" s="880" t="s">
        <v>2264</v>
      </c>
    </row>
    <row r="973" spans="1:11" s="866" customFormat="1" ht="28.8" x14ac:dyDescent="0.3">
      <c r="A973" s="869" t="s">
        <v>2076</v>
      </c>
      <c r="B973" s="881">
        <f>'[1]PLAN DE DESARROLLO 2024 - 2027'!$M$92</f>
        <v>0.25050860314981654</v>
      </c>
      <c r="C973" s="869" t="s">
        <v>2077</v>
      </c>
      <c r="D973" s="878">
        <f>'[1]PLAN DE DESARROLLO 2024 - 2027'!$M$105</f>
        <v>0.1233525</v>
      </c>
      <c r="E973" s="869" t="s">
        <v>1793</v>
      </c>
      <c r="F973" s="879">
        <f>[2]Hoja1!$B$14</f>
        <v>0.17424999999999999</v>
      </c>
      <c r="G973" s="869" t="s">
        <v>724</v>
      </c>
      <c r="H973" s="869" t="s">
        <v>1426</v>
      </c>
      <c r="I973" s="869"/>
      <c r="J973" s="869" t="s">
        <v>58</v>
      </c>
      <c r="K973" s="880" t="s">
        <v>2264</v>
      </c>
    </row>
    <row r="974" spans="1:11" s="866" customFormat="1" ht="43.2" x14ac:dyDescent="0.3">
      <c r="A974" s="869" t="s">
        <v>2205</v>
      </c>
      <c r="B974" s="877">
        <f>'[1]PLAN DE DESARROLLO 2024 - 2027'!$M$46</f>
        <v>0.25251661967012345</v>
      </c>
      <c r="C974" s="869" t="s">
        <v>2248</v>
      </c>
      <c r="D974" s="878">
        <f>'[1]PLAN DE DESARROLLO 2024 - 2027'!$M$80</f>
        <v>0.28962755963439352</v>
      </c>
      <c r="E974" s="869" t="s">
        <v>1677</v>
      </c>
      <c r="F974" s="879">
        <f>[2]Hoja1!$B$125</f>
        <v>0.3529713888888889</v>
      </c>
      <c r="G974" s="869" t="s">
        <v>650</v>
      </c>
      <c r="H974" s="869" t="s">
        <v>651</v>
      </c>
      <c r="I974" s="869"/>
      <c r="J974" s="869" t="s">
        <v>620</v>
      </c>
      <c r="K974" s="880" t="s">
        <v>2264</v>
      </c>
    </row>
    <row r="975" spans="1:11" s="866" customFormat="1" ht="43.2" x14ac:dyDescent="0.3">
      <c r="A975" s="869" t="s">
        <v>2205</v>
      </c>
      <c r="B975" s="877">
        <f>'[1]PLAN DE DESARROLLO 2024 - 2027'!$M$46</f>
        <v>0.25251661967012345</v>
      </c>
      <c r="C975" s="869" t="s">
        <v>2206</v>
      </c>
      <c r="D975" s="878">
        <f>'[1]PLAN DE DESARROLLO 2024 - 2027'!$M$47</f>
        <v>0.26592582694462413</v>
      </c>
      <c r="E975" s="869" t="s">
        <v>1990</v>
      </c>
      <c r="F975" s="879">
        <f>[2]Hoja1!$B$11</f>
        <v>0</v>
      </c>
      <c r="G975" s="869" t="s">
        <v>428</v>
      </c>
      <c r="H975" s="869" t="s">
        <v>429</v>
      </c>
      <c r="I975" s="869"/>
      <c r="J975" s="869" t="s">
        <v>2207</v>
      </c>
      <c r="K975" s="880" t="s">
        <v>2264</v>
      </c>
    </row>
    <row r="976" spans="1:11" s="866" customFormat="1" ht="43.2" x14ac:dyDescent="0.3">
      <c r="A976" s="869" t="s">
        <v>2205</v>
      </c>
      <c r="B976" s="877">
        <f>'[1]PLAN DE DESARROLLO 2024 - 2027'!$M$46</f>
        <v>0.25251661967012345</v>
      </c>
      <c r="C976" s="869" t="s">
        <v>2206</v>
      </c>
      <c r="D976" s="878">
        <f>'[1]PLAN DE DESARROLLO 2024 - 2027'!$M$47</f>
        <v>0.26592582694462413</v>
      </c>
      <c r="E976" s="869" t="s">
        <v>1990</v>
      </c>
      <c r="F976" s="879">
        <f>[2]Hoja1!$B$11</f>
        <v>0</v>
      </c>
      <c r="G976" s="869" t="s">
        <v>430</v>
      </c>
      <c r="H976" s="869" t="s">
        <v>431</v>
      </c>
      <c r="I976" s="869"/>
      <c r="J976" s="869" t="s">
        <v>2207</v>
      </c>
      <c r="K976" s="880" t="s">
        <v>2264</v>
      </c>
    </row>
    <row r="977" spans="1:11" s="866" customFormat="1" ht="28.8" x14ac:dyDescent="0.3">
      <c r="A977" s="869" t="s">
        <v>2205</v>
      </c>
      <c r="B977" s="877">
        <f>'[1]PLAN DE DESARROLLO 2024 - 2027'!$M$46</f>
        <v>0.25251661967012345</v>
      </c>
      <c r="C977" s="869" t="s">
        <v>2206</v>
      </c>
      <c r="D977" s="878">
        <f>'[1]PLAN DE DESARROLLO 2024 - 2027'!$M$47</f>
        <v>0.26592582694462413</v>
      </c>
      <c r="E977" s="869" t="s">
        <v>2233</v>
      </c>
      <c r="F977" s="879">
        <f>[2]Hoja1!$B$13</f>
        <v>0.20570526315789472</v>
      </c>
      <c r="G977" s="869" t="s">
        <v>459</v>
      </c>
      <c r="H977" s="869" t="s">
        <v>2234</v>
      </c>
      <c r="I977" s="869"/>
      <c r="J977" s="869" t="s">
        <v>2207</v>
      </c>
      <c r="K977" s="880" t="s">
        <v>2264</v>
      </c>
    </row>
    <row r="978" spans="1:11" s="866" customFormat="1" ht="43.2" x14ac:dyDescent="0.3">
      <c r="A978" s="869" t="s">
        <v>2205</v>
      </c>
      <c r="B978" s="877">
        <f>'[1]PLAN DE DESARROLLO 2024 - 2027'!$M$46</f>
        <v>0.25251661967012345</v>
      </c>
      <c r="C978" s="869" t="s">
        <v>2206</v>
      </c>
      <c r="D978" s="878">
        <f>'[1]PLAN DE DESARROLLO 2024 - 2027'!$M$47</f>
        <v>0.26592582694462413</v>
      </c>
      <c r="E978" s="869" t="s">
        <v>2233</v>
      </c>
      <c r="F978" s="879">
        <f>[2]Hoja1!$B$13</f>
        <v>0.20570526315789472</v>
      </c>
      <c r="G978" s="869" t="s">
        <v>461</v>
      </c>
      <c r="H978" s="869" t="s">
        <v>462</v>
      </c>
      <c r="I978" s="869"/>
      <c r="J978" s="869" t="s">
        <v>2207</v>
      </c>
      <c r="K978" s="880" t="s">
        <v>2264</v>
      </c>
    </row>
    <row r="979" spans="1:11" s="866" customFormat="1" ht="28.8" x14ac:dyDescent="0.3">
      <c r="A979" s="869" t="s">
        <v>2205</v>
      </c>
      <c r="B979" s="877">
        <f>'[1]PLAN DE DESARROLLO 2024 - 2027'!$M$46</f>
        <v>0.25251661967012345</v>
      </c>
      <c r="C979" s="869" t="s">
        <v>2206</v>
      </c>
      <c r="D979" s="878">
        <f>'[1]PLAN DE DESARROLLO 2024 - 2027'!$M$47</f>
        <v>0.26592582694462413</v>
      </c>
      <c r="E979" s="869" t="s">
        <v>2233</v>
      </c>
      <c r="F979" s="879">
        <f>[2]Hoja1!$B$13</f>
        <v>0.20570526315789472</v>
      </c>
      <c r="G979" s="869" t="s">
        <v>463</v>
      </c>
      <c r="H979" s="869" t="s">
        <v>464</v>
      </c>
      <c r="I979" s="869"/>
      <c r="J979" s="869" t="s">
        <v>2207</v>
      </c>
      <c r="K979" s="880" t="s">
        <v>2264</v>
      </c>
    </row>
    <row r="980" spans="1:11" s="866" customFormat="1" ht="28.8" x14ac:dyDescent="0.3">
      <c r="A980" s="869" t="s">
        <v>2205</v>
      </c>
      <c r="B980" s="877">
        <f>'[1]PLAN DE DESARROLLO 2024 - 2027'!$M$46</f>
        <v>0.25251661967012345</v>
      </c>
      <c r="C980" s="869" t="s">
        <v>2206</v>
      </c>
      <c r="D980" s="878">
        <f>'[1]PLAN DE DESARROLLO 2024 - 2027'!$M$47</f>
        <v>0.26592582694462413</v>
      </c>
      <c r="E980" s="869" t="s">
        <v>2233</v>
      </c>
      <c r="F980" s="879">
        <f>[2]Hoja1!$B$13</f>
        <v>0.20570526315789472</v>
      </c>
      <c r="G980" s="869" t="s">
        <v>2235</v>
      </c>
      <c r="H980" s="869" t="s">
        <v>2236</v>
      </c>
      <c r="I980" s="869"/>
      <c r="J980" s="869" t="s">
        <v>2207</v>
      </c>
      <c r="K980" s="880" t="s">
        <v>2264</v>
      </c>
    </row>
    <row r="981" spans="1:11" s="866" customFormat="1" ht="43.2" x14ac:dyDescent="0.3">
      <c r="A981" s="869" t="s">
        <v>2205</v>
      </c>
      <c r="B981" s="877">
        <f>'[1]PLAN DE DESARROLLO 2024 - 2027'!$M$46</f>
        <v>0.25251661967012345</v>
      </c>
      <c r="C981" s="869" t="s">
        <v>2206</v>
      </c>
      <c r="D981" s="878">
        <f>'[1]PLAN DE DESARROLLO 2024 - 2027'!$M$47</f>
        <v>0.26592582694462413</v>
      </c>
      <c r="E981" s="869" t="s">
        <v>2212</v>
      </c>
      <c r="F981" s="879">
        <f>[2]Hoja1!$B$16</f>
        <v>0.75238095238095237</v>
      </c>
      <c r="G981" s="869" t="s">
        <v>2213</v>
      </c>
      <c r="H981" s="869" t="s">
        <v>2214</v>
      </c>
      <c r="I981" s="869"/>
      <c r="J981" s="869" t="s">
        <v>2207</v>
      </c>
      <c r="K981" s="880" t="s">
        <v>2264</v>
      </c>
    </row>
    <row r="982" spans="1:11" s="866" customFormat="1" ht="72" x14ac:dyDescent="0.3">
      <c r="A982" s="869" t="s">
        <v>2205</v>
      </c>
      <c r="B982" s="877">
        <f>'[1]PLAN DE DESARROLLO 2024 - 2027'!$M$46</f>
        <v>0.25251661967012345</v>
      </c>
      <c r="C982" s="869" t="s">
        <v>2206</v>
      </c>
      <c r="D982" s="878">
        <f>'[1]PLAN DE DESARROLLO 2024 - 2027'!$M$47</f>
        <v>0.26592582694462413</v>
      </c>
      <c r="E982" s="869" t="s">
        <v>2212</v>
      </c>
      <c r="F982" s="879">
        <f>[2]Hoja1!$B$16</f>
        <v>0.75238095238095237</v>
      </c>
      <c r="G982" s="869" t="s">
        <v>370</v>
      </c>
      <c r="H982" s="869" t="s">
        <v>371</v>
      </c>
      <c r="I982" s="869"/>
      <c r="J982" s="869" t="s">
        <v>2207</v>
      </c>
      <c r="K982" s="880" t="s">
        <v>2264</v>
      </c>
    </row>
    <row r="983" spans="1:11" s="866" customFormat="1" ht="28.8" x14ac:dyDescent="0.3">
      <c r="A983" s="869" t="s">
        <v>2205</v>
      </c>
      <c r="B983" s="877">
        <f>'[1]PLAN DE DESARROLLO 2024 - 2027'!$M$46</f>
        <v>0.25251661967012345</v>
      </c>
      <c r="C983" s="869" t="s">
        <v>2206</v>
      </c>
      <c r="D983" s="878">
        <f>'[1]PLAN DE DESARROLLO 2024 - 2027'!$M$47</f>
        <v>0.26592582694462413</v>
      </c>
      <c r="E983" s="869" t="s">
        <v>1646</v>
      </c>
      <c r="F983" s="879">
        <f>[2]Hoja1!$B$31</f>
        <v>0.3129859335038363</v>
      </c>
      <c r="G983" s="869" t="s">
        <v>412</v>
      </c>
      <c r="H983" s="869" t="s">
        <v>413</v>
      </c>
      <c r="I983" s="869"/>
      <c r="J983" s="869" t="s">
        <v>2207</v>
      </c>
      <c r="K983" s="880" t="s">
        <v>2264</v>
      </c>
    </row>
    <row r="984" spans="1:11" s="866" customFormat="1" ht="28.8" x14ac:dyDescent="0.3">
      <c r="A984" s="869" t="s">
        <v>2151</v>
      </c>
      <c r="B984" s="877">
        <f>'[1]PLAN DE DESARROLLO 2024 - 2027'!$M$4</f>
        <v>0.24028917333263158</v>
      </c>
      <c r="C984" s="869" t="s">
        <v>2157</v>
      </c>
      <c r="D984" s="878">
        <f>'[1]PLAN DE DESARROLLO 2024 - 2027'!$M$20</f>
        <v>0.2170625911038922</v>
      </c>
      <c r="E984" s="869" t="s">
        <v>1630</v>
      </c>
      <c r="F984" s="879">
        <f>[2]Hoja1!$B$35</f>
        <v>0.21</v>
      </c>
      <c r="G984" s="869" t="s">
        <v>225</v>
      </c>
      <c r="H984" s="869" t="s">
        <v>226</v>
      </c>
      <c r="I984" s="869"/>
      <c r="J984" s="869" t="s">
        <v>516</v>
      </c>
      <c r="K984" s="880" t="s">
        <v>2264</v>
      </c>
    </row>
    <row r="985" spans="1:11" s="866" customFormat="1" ht="28.8" x14ac:dyDescent="0.3">
      <c r="A985" s="869" t="s">
        <v>2151</v>
      </c>
      <c r="B985" s="877">
        <f>'[1]PLAN DE DESARROLLO 2024 - 2027'!$M$4</f>
        <v>0.24028917333263158</v>
      </c>
      <c r="C985" s="869" t="s">
        <v>2157</v>
      </c>
      <c r="D985" s="878">
        <f>'[1]PLAN DE DESARROLLO 2024 - 2027'!$M$20</f>
        <v>0.2170625911038922</v>
      </c>
      <c r="E985" s="869" t="s">
        <v>1630</v>
      </c>
      <c r="F985" s="879">
        <f>[2]Hoja1!$B$35</f>
        <v>0.21</v>
      </c>
      <c r="G985" s="869" t="s">
        <v>227</v>
      </c>
      <c r="H985" s="869" t="s">
        <v>228</v>
      </c>
      <c r="I985" s="869"/>
      <c r="J985" s="869" t="s">
        <v>516</v>
      </c>
      <c r="K985" s="880" t="s">
        <v>2264</v>
      </c>
    </row>
    <row r="986" spans="1:11" s="866" customFormat="1" ht="43.2" x14ac:dyDescent="0.3">
      <c r="A986" s="869" t="s">
        <v>2151</v>
      </c>
      <c r="B986" s="877">
        <f>'[1]PLAN DE DESARROLLO 2024 - 2027'!$M$4</f>
        <v>0.24028917333263158</v>
      </c>
      <c r="C986" s="869" t="s">
        <v>2157</v>
      </c>
      <c r="D986" s="878">
        <f>'[1]PLAN DE DESARROLLO 2024 - 2027'!$M$20</f>
        <v>0.2170625911038922</v>
      </c>
      <c r="E986" s="869" t="s">
        <v>2160</v>
      </c>
      <c r="F986" s="879">
        <f>[2]Hoja1!$B$47</f>
        <v>0.22916000000000003</v>
      </c>
      <c r="G986" s="869" t="s">
        <v>174</v>
      </c>
      <c r="H986" s="869" t="s">
        <v>175</v>
      </c>
      <c r="I986" s="869"/>
      <c r="J986" s="869" t="s">
        <v>162</v>
      </c>
      <c r="K986" s="880" t="s">
        <v>2264</v>
      </c>
    </row>
    <row r="987" spans="1:11" s="866" customFormat="1" ht="43.2" x14ac:dyDescent="0.3">
      <c r="A987" s="869" t="s">
        <v>2151</v>
      </c>
      <c r="B987" s="877">
        <f>'[1]PLAN DE DESARROLLO 2024 - 2027'!$M$4</f>
        <v>0.24028917333263158</v>
      </c>
      <c r="C987" s="869" t="s">
        <v>2157</v>
      </c>
      <c r="D987" s="878">
        <f>'[1]PLAN DE DESARROLLO 2024 - 2027'!$M$20</f>
        <v>0.2170625911038922</v>
      </c>
      <c r="E987" s="869" t="s">
        <v>2160</v>
      </c>
      <c r="F987" s="879">
        <f>[2]Hoja1!$B$47</f>
        <v>0.22916000000000003</v>
      </c>
      <c r="G987" s="869" t="s">
        <v>2161</v>
      </c>
      <c r="H987" s="869" t="s">
        <v>177</v>
      </c>
      <c r="I987" s="869"/>
      <c r="J987" s="869" t="s">
        <v>162</v>
      </c>
      <c r="K987" s="880" t="s">
        <v>2264</v>
      </c>
    </row>
    <row r="988" spans="1:11" s="866" customFormat="1" ht="57.6" x14ac:dyDescent="0.3">
      <c r="A988" s="869" t="s">
        <v>2151</v>
      </c>
      <c r="B988" s="877">
        <f>'[1]PLAN DE DESARROLLO 2024 - 2027'!$M$4</f>
        <v>0.24028917333263158</v>
      </c>
      <c r="C988" s="869" t="s">
        <v>2157</v>
      </c>
      <c r="D988" s="878">
        <f>'[1]PLAN DE DESARROLLO 2024 - 2027'!$M$20</f>
        <v>0.2170625911038922</v>
      </c>
      <c r="E988" s="869" t="s">
        <v>2162</v>
      </c>
      <c r="F988" s="879">
        <f>[2]Hoja1!$B$73</f>
        <v>6.3793103448275865E-2</v>
      </c>
      <c r="G988" s="869" t="s">
        <v>2163</v>
      </c>
      <c r="H988" s="869" t="s">
        <v>179</v>
      </c>
      <c r="I988" s="869"/>
      <c r="J988" s="869" t="s">
        <v>162</v>
      </c>
      <c r="K988" s="880" t="s">
        <v>2264</v>
      </c>
    </row>
    <row r="989" spans="1:11" s="866" customFormat="1" ht="28.8" x14ac:dyDescent="0.3">
      <c r="A989" s="869" t="s">
        <v>2151</v>
      </c>
      <c r="B989" s="877">
        <f>'[1]PLAN DE DESARROLLO 2024 - 2027'!$M$4</f>
        <v>0.24028917333263158</v>
      </c>
      <c r="C989" s="869" t="s">
        <v>2157</v>
      </c>
      <c r="D989" s="878">
        <f>'[1]PLAN DE DESARROLLO 2024 - 2027'!$M$20</f>
        <v>0.2170625911038922</v>
      </c>
      <c r="E989" s="869" t="s">
        <v>2162</v>
      </c>
      <c r="F989" s="879">
        <f>[2]Hoja1!$B$73</f>
        <v>6.3793103448275865E-2</v>
      </c>
      <c r="G989" s="869" t="s">
        <v>180</v>
      </c>
      <c r="H989" s="869" t="s">
        <v>181</v>
      </c>
      <c r="I989" s="869"/>
      <c r="J989" s="869" t="s">
        <v>162</v>
      </c>
      <c r="K989" s="880" t="s">
        <v>2264</v>
      </c>
    </row>
    <row r="990" spans="1:11" s="866" customFormat="1" ht="43.2" x14ac:dyDescent="0.3">
      <c r="A990" s="869" t="s">
        <v>2151</v>
      </c>
      <c r="B990" s="877">
        <f>'[1]PLAN DE DESARROLLO 2024 - 2027'!$M$4</f>
        <v>0.24028917333263158</v>
      </c>
      <c r="C990" s="869" t="s">
        <v>2157</v>
      </c>
      <c r="D990" s="878">
        <f>'[1]PLAN DE DESARROLLO 2024 - 2027'!$M$20</f>
        <v>0.2170625911038922</v>
      </c>
      <c r="E990" s="869" t="s">
        <v>2158</v>
      </c>
      <c r="F990" s="879">
        <f>[2]Hoja1!$B$137</f>
        <v>0.211759440843759</v>
      </c>
      <c r="G990" s="869" t="s">
        <v>160</v>
      </c>
      <c r="H990" s="869" t="s">
        <v>161</v>
      </c>
      <c r="I990" s="869"/>
      <c r="J990" s="869" t="s">
        <v>162</v>
      </c>
      <c r="K990" s="880" t="s">
        <v>2264</v>
      </c>
    </row>
    <row r="991" spans="1:11" s="866" customFormat="1" ht="28.8" x14ac:dyDescent="0.3">
      <c r="A991" s="869" t="s">
        <v>2151</v>
      </c>
      <c r="B991" s="877">
        <f>'[1]PLAN DE DESARROLLO 2024 - 2027'!$M$4</f>
        <v>0.24028917333263158</v>
      </c>
      <c r="C991" s="869" t="s">
        <v>2157</v>
      </c>
      <c r="D991" s="878">
        <f>'[1]PLAN DE DESARROLLO 2024 - 2027'!$M$20</f>
        <v>0.2170625911038922</v>
      </c>
      <c r="E991" s="869" t="s">
        <v>2158</v>
      </c>
      <c r="F991" s="879">
        <f>[2]Hoja1!$B$137</f>
        <v>0.211759440843759</v>
      </c>
      <c r="G991" s="869" t="s">
        <v>163</v>
      </c>
      <c r="H991" s="869" t="s">
        <v>164</v>
      </c>
      <c r="I991" s="869"/>
      <c r="J991" s="869" t="s">
        <v>162</v>
      </c>
      <c r="K991" s="880" t="s">
        <v>2264</v>
      </c>
    </row>
    <row r="992" spans="1:11" s="866" customFormat="1" ht="43.2" x14ac:dyDescent="0.3">
      <c r="A992" s="869" t="s">
        <v>2118</v>
      </c>
      <c r="B992" s="881">
        <f>'[1]PLAN DE DESARROLLO 2024 - 2027'!$M$161</f>
        <v>0.24647581985093744</v>
      </c>
      <c r="C992" s="869" t="s">
        <v>2120</v>
      </c>
      <c r="D992" s="878">
        <f>'[1]PLAN DE DESARROLLO 2024 - 2027'!$M$166</f>
        <v>0.23451309458253802</v>
      </c>
      <c r="E992" s="869" t="s">
        <v>2134</v>
      </c>
      <c r="F992" s="879">
        <f>[2]Hoja1!$B$70</f>
        <v>0.10187067756482795</v>
      </c>
      <c r="G992" s="869" t="s">
        <v>987</v>
      </c>
      <c r="H992" s="869" t="s">
        <v>1188</v>
      </c>
      <c r="I992" s="869"/>
      <c r="J992" s="869" t="s">
        <v>48</v>
      </c>
      <c r="K992" s="880" t="s">
        <v>2264</v>
      </c>
    </row>
    <row r="993" spans="1:11" s="866" customFormat="1" ht="43.2" x14ac:dyDescent="0.3">
      <c r="A993" s="869" t="s">
        <v>2118</v>
      </c>
      <c r="B993" s="881">
        <f>'[1]PLAN DE DESARROLLO 2024 - 2027'!$M$161</f>
        <v>0.24647581985093744</v>
      </c>
      <c r="C993" s="869" t="s">
        <v>2120</v>
      </c>
      <c r="D993" s="878">
        <f>'[1]PLAN DE DESARROLLO 2024 - 2027'!$M$166</f>
        <v>0.23451309458253802</v>
      </c>
      <c r="E993" s="869" t="s">
        <v>2134</v>
      </c>
      <c r="F993" s="879">
        <f>[2]Hoja1!$B$70</f>
        <v>0.10187067756482795</v>
      </c>
      <c r="G993" s="869" t="s">
        <v>988</v>
      </c>
      <c r="H993" s="869" t="s">
        <v>1189</v>
      </c>
      <c r="I993" s="869"/>
      <c r="J993" s="869" t="s">
        <v>48</v>
      </c>
      <c r="K993" s="880" t="s">
        <v>2264</v>
      </c>
    </row>
    <row r="994" spans="1:11" s="866" customFormat="1" ht="43.2" x14ac:dyDescent="0.3">
      <c r="A994" s="869" t="s">
        <v>2118</v>
      </c>
      <c r="B994" s="881">
        <f>'[1]PLAN DE DESARROLLO 2024 - 2027'!$M$161</f>
        <v>0.24647581985093744</v>
      </c>
      <c r="C994" s="869" t="s">
        <v>2120</v>
      </c>
      <c r="D994" s="878">
        <f>'[1]PLAN DE DESARROLLO 2024 - 2027'!$M$166</f>
        <v>0.23451309458253802</v>
      </c>
      <c r="E994" s="869" t="s">
        <v>2134</v>
      </c>
      <c r="F994" s="879">
        <f>[2]Hoja1!$B$70</f>
        <v>0.10187067756482795</v>
      </c>
      <c r="G994" s="869" t="s">
        <v>989</v>
      </c>
      <c r="H994" s="869" t="s">
        <v>1190</v>
      </c>
      <c r="I994" s="869"/>
      <c r="J994" s="869" t="s">
        <v>48</v>
      </c>
      <c r="K994" s="880" t="s">
        <v>2264</v>
      </c>
    </row>
    <row r="995" spans="1:11" s="866" customFormat="1" ht="43.2" x14ac:dyDescent="0.3">
      <c r="A995" s="869" t="s">
        <v>2118</v>
      </c>
      <c r="B995" s="881">
        <f>'[1]PLAN DE DESARROLLO 2024 - 2027'!$M$161</f>
        <v>0.24647581985093744</v>
      </c>
      <c r="C995" s="869" t="s">
        <v>2120</v>
      </c>
      <c r="D995" s="878">
        <f>'[1]PLAN DE DESARROLLO 2024 - 2027'!$M$166</f>
        <v>0.23451309458253802</v>
      </c>
      <c r="E995" s="869" t="s">
        <v>2134</v>
      </c>
      <c r="F995" s="879">
        <f>[2]Hoja1!$B$70</f>
        <v>0.10187067756482795</v>
      </c>
      <c r="G995" s="869" t="s">
        <v>990</v>
      </c>
      <c r="H995" s="869" t="s">
        <v>1191</v>
      </c>
      <c r="I995" s="869"/>
      <c r="J995" s="869" t="s">
        <v>48</v>
      </c>
      <c r="K995" s="880" t="s">
        <v>2264</v>
      </c>
    </row>
    <row r="996" spans="1:11" s="866" customFormat="1" ht="43.2" x14ac:dyDescent="0.3">
      <c r="A996" s="869" t="s">
        <v>2205</v>
      </c>
      <c r="B996" s="877">
        <f>'[1]PLAN DE DESARROLLO 2024 - 2027'!$M$46</f>
        <v>0.25251661967012345</v>
      </c>
      <c r="C996" s="869" t="s">
        <v>2206</v>
      </c>
      <c r="D996" s="878">
        <f>'[1]PLAN DE DESARROLLO 2024 - 2027'!$M$47</f>
        <v>0.26592582694462413</v>
      </c>
      <c r="E996" s="869" t="s">
        <v>1646</v>
      </c>
      <c r="F996" s="879">
        <f>[2]Hoja1!$B$31</f>
        <v>0.3129859335038363</v>
      </c>
      <c r="G996" s="869" t="s">
        <v>414</v>
      </c>
      <c r="H996" s="869" t="s">
        <v>415</v>
      </c>
      <c r="I996" s="869"/>
      <c r="J996" s="869" t="s">
        <v>2207</v>
      </c>
      <c r="K996" s="880" t="s">
        <v>2264</v>
      </c>
    </row>
    <row r="997" spans="1:11" s="866" customFormat="1" ht="28.8" x14ac:dyDescent="0.3">
      <c r="A997" s="869" t="s">
        <v>2205</v>
      </c>
      <c r="B997" s="877">
        <f>'[1]PLAN DE DESARROLLO 2024 - 2027'!$M$46</f>
        <v>0.25251661967012345</v>
      </c>
      <c r="C997" s="869" t="s">
        <v>2206</v>
      </c>
      <c r="D997" s="878">
        <f>'[1]PLAN DE DESARROLLO 2024 - 2027'!$M$47</f>
        <v>0.26592582694462413</v>
      </c>
      <c r="E997" s="869" t="s">
        <v>1646</v>
      </c>
      <c r="F997" s="879">
        <f>[2]Hoja1!$B$31</f>
        <v>0.3129859335038363</v>
      </c>
      <c r="G997" s="869" t="s">
        <v>416</v>
      </c>
      <c r="H997" s="869" t="s">
        <v>417</v>
      </c>
      <c r="I997" s="869"/>
      <c r="J997" s="869" t="s">
        <v>2207</v>
      </c>
      <c r="K997" s="880" t="s">
        <v>2264</v>
      </c>
    </row>
    <row r="998" spans="1:11" s="866" customFormat="1" ht="72" x14ac:dyDescent="0.3">
      <c r="A998" s="869" t="s">
        <v>2205</v>
      </c>
      <c r="B998" s="877">
        <f>'[1]PLAN DE DESARROLLO 2024 - 2027'!$M$46</f>
        <v>0.25251661967012345</v>
      </c>
      <c r="C998" s="869" t="s">
        <v>2206</v>
      </c>
      <c r="D998" s="878">
        <f>'[1]PLAN DE DESARROLLO 2024 - 2027'!$M$47</f>
        <v>0.26592582694462413</v>
      </c>
      <c r="E998" s="869" t="s">
        <v>2221</v>
      </c>
      <c r="F998" s="879">
        <f>[2]Hoja1!$B$32</f>
        <v>0.18148717948717949</v>
      </c>
      <c r="G998" s="869" t="s">
        <v>404</v>
      </c>
      <c r="H998" s="869" t="s">
        <v>405</v>
      </c>
      <c r="I998" s="869"/>
      <c r="J998" s="869" t="s">
        <v>2207</v>
      </c>
      <c r="K998" s="880" t="s">
        <v>2264</v>
      </c>
    </row>
    <row r="999" spans="1:11" s="866" customFormat="1" ht="28.8" x14ac:dyDescent="0.3">
      <c r="A999" s="869" t="s">
        <v>2205</v>
      </c>
      <c r="B999" s="877">
        <f>'[1]PLAN DE DESARROLLO 2024 - 2027'!$M$46</f>
        <v>0.25251661967012345</v>
      </c>
      <c r="C999" s="869" t="s">
        <v>2206</v>
      </c>
      <c r="D999" s="878">
        <f>'[1]PLAN DE DESARROLLO 2024 - 2027'!$M$47</f>
        <v>0.26592582694462413</v>
      </c>
      <c r="E999" s="869" t="s">
        <v>2221</v>
      </c>
      <c r="F999" s="879">
        <f>[2]Hoja1!$B$32</f>
        <v>0.18148717948717949</v>
      </c>
      <c r="G999" s="869" t="s">
        <v>406</v>
      </c>
      <c r="H999" s="869" t="s">
        <v>407</v>
      </c>
      <c r="I999" s="869"/>
      <c r="J999" s="869" t="s">
        <v>2207</v>
      </c>
      <c r="K999" s="880" t="s">
        <v>2264</v>
      </c>
    </row>
    <row r="1000" spans="1:11" s="866" customFormat="1" ht="57.6" x14ac:dyDescent="0.3">
      <c r="A1000" s="869" t="s">
        <v>2205</v>
      </c>
      <c r="B1000" s="877">
        <f>'[1]PLAN DE DESARROLLO 2024 - 2027'!$M$46</f>
        <v>0.25251661967012345</v>
      </c>
      <c r="C1000" s="869" t="s">
        <v>2206</v>
      </c>
      <c r="D1000" s="878">
        <f>'[1]PLAN DE DESARROLLO 2024 - 2027'!$M$47</f>
        <v>0.26592582694462413</v>
      </c>
      <c r="E1000" s="869" t="s">
        <v>2221</v>
      </c>
      <c r="F1000" s="879">
        <f>[2]Hoja1!$B$32</f>
        <v>0.18148717948717949</v>
      </c>
      <c r="G1000" s="869" t="s">
        <v>408</v>
      </c>
      <c r="H1000" s="869" t="s">
        <v>409</v>
      </c>
      <c r="I1000" s="869"/>
      <c r="J1000" s="869" t="s">
        <v>2207</v>
      </c>
      <c r="K1000" s="880" t="s">
        <v>2264</v>
      </c>
    </row>
    <row r="1001" spans="1:11" s="866" customFormat="1" ht="28.8" x14ac:dyDescent="0.3">
      <c r="A1001" s="869" t="s">
        <v>2151</v>
      </c>
      <c r="B1001" s="877">
        <f>'[1]PLAN DE DESARROLLO 2024 - 2027'!$M$4</f>
        <v>0.24028917333263158</v>
      </c>
      <c r="C1001" s="869" t="s">
        <v>2157</v>
      </c>
      <c r="D1001" s="878">
        <f>'[1]PLAN DE DESARROLLO 2024 - 2027'!$M$20</f>
        <v>0.2170625911038922</v>
      </c>
      <c r="E1001" s="869" t="s">
        <v>2158</v>
      </c>
      <c r="F1001" s="879">
        <f>[2]Hoja1!$B$137</f>
        <v>0.211759440843759</v>
      </c>
      <c r="G1001" s="869" t="s">
        <v>165</v>
      </c>
      <c r="H1001" s="869" t="s">
        <v>166</v>
      </c>
      <c r="I1001" s="869"/>
      <c r="J1001" s="869" t="s">
        <v>162</v>
      </c>
      <c r="K1001" s="880" t="s">
        <v>2264</v>
      </c>
    </row>
    <row r="1002" spans="1:11" s="866" customFormat="1" ht="28.8" x14ac:dyDescent="0.3">
      <c r="A1002" s="869" t="s">
        <v>2151</v>
      </c>
      <c r="B1002" s="877">
        <f>'[1]PLAN DE DESARROLLO 2024 - 2027'!$M$4</f>
        <v>0.24028917333263158</v>
      </c>
      <c r="C1002" s="869" t="s">
        <v>2157</v>
      </c>
      <c r="D1002" s="878">
        <f>'[1]PLAN DE DESARROLLO 2024 - 2027'!$M$20</f>
        <v>0.2170625911038922</v>
      </c>
      <c r="E1002" s="869" t="s">
        <v>2158</v>
      </c>
      <c r="F1002" s="879">
        <f>[2]Hoja1!$B$137</f>
        <v>0.211759440843759</v>
      </c>
      <c r="G1002" s="869" t="s">
        <v>167</v>
      </c>
      <c r="H1002" s="869" t="s">
        <v>168</v>
      </c>
      <c r="I1002" s="869"/>
      <c r="J1002" s="869" t="s">
        <v>162</v>
      </c>
      <c r="K1002" s="880" t="s">
        <v>2264</v>
      </c>
    </row>
    <row r="1003" spans="1:11" s="866" customFormat="1" x14ac:dyDescent="0.3">
      <c r="A1003" s="869" t="s">
        <v>2205</v>
      </c>
      <c r="B1003" s="877">
        <f>'[1]PLAN DE DESARROLLO 2024 - 2027'!$M$46</f>
        <v>0.25251661967012345</v>
      </c>
      <c r="C1003" s="869" t="s">
        <v>2206</v>
      </c>
      <c r="D1003" s="878">
        <f>'[1]PLAN DE DESARROLLO 2024 - 2027'!$M$47</f>
        <v>0.26592582694462413</v>
      </c>
      <c r="E1003" s="869" t="s">
        <v>2221</v>
      </c>
      <c r="F1003" s="879">
        <f>[2]Hoja1!$B$32</f>
        <v>0.18148717948717949</v>
      </c>
      <c r="G1003" s="869" t="s">
        <v>410</v>
      </c>
      <c r="H1003" s="869" t="s">
        <v>411</v>
      </c>
      <c r="I1003" s="869"/>
      <c r="J1003" s="869" t="s">
        <v>2207</v>
      </c>
      <c r="K1003" s="880" t="s">
        <v>2264</v>
      </c>
    </row>
    <row r="1004" spans="1:11" s="866" customFormat="1" ht="28.8" x14ac:dyDescent="0.3">
      <c r="A1004" s="869" t="s">
        <v>2205</v>
      </c>
      <c r="B1004" s="877">
        <f>'[1]PLAN DE DESARROLLO 2024 - 2027'!$M$46</f>
        <v>0.25251661967012345</v>
      </c>
      <c r="C1004" s="869" t="s">
        <v>2206</v>
      </c>
      <c r="D1004" s="878">
        <f>'[1]PLAN DE DESARROLLO 2024 - 2027'!$M$47</f>
        <v>0.26592582694462413</v>
      </c>
      <c r="E1004" s="869" t="s">
        <v>1652</v>
      </c>
      <c r="F1004" s="879">
        <f>[2]Hoja1!$B$33</f>
        <v>0.25094117647058822</v>
      </c>
      <c r="G1004" s="869" t="s">
        <v>467</v>
      </c>
      <c r="H1004" s="869" t="s">
        <v>468</v>
      </c>
      <c r="I1004" s="869"/>
      <c r="J1004" s="869" t="s">
        <v>2207</v>
      </c>
      <c r="K1004" s="880" t="s">
        <v>2264</v>
      </c>
    </row>
    <row r="1005" spans="1:11" s="866" customFormat="1" ht="28.8" x14ac:dyDescent="0.3">
      <c r="A1005" s="869" t="s">
        <v>2205</v>
      </c>
      <c r="B1005" s="877">
        <f>'[1]PLAN DE DESARROLLO 2024 - 2027'!$M$46</f>
        <v>0.25251661967012345</v>
      </c>
      <c r="C1005" s="869" t="s">
        <v>2206</v>
      </c>
      <c r="D1005" s="878">
        <f>'[1]PLAN DE DESARROLLO 2024 - 2027'!$M$47</f>
        <v>0.26592582694462413</v>
      </c>
      <c r="E1005" s="869" t="s">
        <v>1652</v>
      </c>
      <c r="F1005" s="879">
        <f>[2]Hoja1!$B$33</f>
        <v>0.25094117647058822</v>
      </c>
      <c r="G1005" s="869" t="s">
        <v>469</v>
      </c>
      <c r="H1005" s="869" t="s">
        <v>470</v>
      </c>
      <c r="I1005" s="869"/>
      <c r="J1005" s="869" t="s">
        <v>2207</v>
      </c>
      <c r="K1005" s="880" t="s">
        <v>2264</v>
      </c>
    </row>
    <row r="1006" spans="1:11" s="866" customFormat="1" ht="28.8" x14ac:dyDescent="0.3">
      <c r="A1006" s="869" t="s">
        <v>2205</v>
      </c>
      <c r="B1006" s="877">
        <f>'[1]PLAN DE DESARROLLO 2024 - 2027'!$M$46</f>
        <v>0.25251661967012345</v>
      </c>
      <c r="C1006" s="869" t="s">
        <v>2206</v>
      </c>
      <c r="D1006" s="878">
        <f>'[1]PLAN DE DESARROLLO 2024 - 2027'!$M$47</f>
        <v>0.26592582694462413</v>
      </c>
      <c r="E1006" s="869" t="s">
        <v>1652</v>
      </c>
      <c r="F1006" s="879">
        <f>[2]Hoja1!$B$33</f>
        <v>0.25094117647058822</v>
      </c>
      <c r="G1006" s="869" t="s">
        <v>471</v>
      </c>
      <c r="H1006" s="869" t="s">
        <v>472</v>
      </c>
      <c r="I1006" s="869"/>
      <c r="J1006" s="869" t="s">
        <v>2207</v>
      </c>
      <c r="K1006" s="880" t="s">
        <v>2264</v>
      </c>
    </row>
    <row r="1007" spans="1:11" s="866" customFormat="1" ht="43.2" x14ac:dyDescent="0.3">
      <c r="A1007" s="869" t="s">
        <v>2205</v>
      </c>
      <c r="B1007" s="877">
        <f>'[1]PLAN DE DESARROLLO 2024 - 2027'!$M$46</f>
        <v>0.25251661967012345</v>
      </c>
      <c r="C1007" s="869" t="s">
        <v>2206</v>
      </c>
      <c r="D1007" s="878">
        <f>'[1]PLAN DE DESARROLLO 2024 - 2027'!$M$47</f>
        <v>0.26592582694462413</v>
      </c>
      <c r="E1007" s="869" t="s">
        <v>2218</v>
      </c>
      <c r="F1007" s="879">
        <f>[2]Hoja1!$B$62</f>
        <v>0.40093061935688268</v>
      </c>
      <c r="G1007" s="869" t="s">
        <v>396</v>
      </c>
      <c r="H1007" s="869" t="s">
        <v>397</v>
      </c>
      <c r="I1007" s="869"/>
      <c r="J1007" s="869" t="s">
        <v>2207</v>
      </c>
      <c r="K1007" s="880" t="s">
        <v>2264</v>
      </c>
    </row>
    <row r="1008" spans="1:11" s="866" customFormat="1" ht="43.2" x14ac:dyDescent="0.3">
      <c r="A1008" s="869" t="s">
        <v>2205</v>
      </c>
      <c r="B1008" s="877">
        <f>'[1]PLAN DE DESARROLLO 2024 - 2027'!$M$46</f>
        <v>0.25251661967012345</v>
      </c>
      <c r="C1008" s="869" t="s">
        <v>2206</v>
      </c>
      <c r="D1008" s="878">
        <f>'[1]PLAN DE DESARROLLO 2024 - 2027'!$M$47</f>
        <v>0.26592582694462413</v>
      </c>
      <c r="E1008" s="869" t="s">
        <v>2218</v>
      </c>
      <c r="F1008" s="879">
        <f>[2]Hoja1!$B$62</f>
        <v>0.40093061935688268</v>
      </c>
      <c r="G1008" s="869" t="s">
        <v>2219</v>
      </c>
      <c r="H1008" s="869" t="s">
        <v>2220</v>
      </c>
      <c r="I1008" s="869"/>
      <c r="J1008" s="869" t="s">
        <v>2207</v>
      </c>
      <c r="K1008" s="880" t="s">
        <v>2264</v>
      </c>
    </row>
    <row r="1009" spans="1:11" s="866" customFormat="1" ht="28.8" x14ac:dyDescent="0.3">
      <c r="A1009" s="869" t="s">
        <v>2118</v>
      </c>
      <c r="B1009" s="881">
        <f>'[1]PLAN DE DESARROLLO 2024 - 2027'!$M$161</f>
        <v>0.24647581985093744</v>
      </c>
      <c r="C1009" s="869" t="s">
        <v>2120</v>
      </c>
      <c r="D1009" s="878">
        <f>'[1]PLAN DE DESARROLLO 2024 - 2027'!$M$166</f>
        <v>0.23451309458253802</v>
      </c>
      <c r="E1009" s="869" t="s">
        <v>2122</v>
      </c>
      <c r="F1009" s="879">
        <f>[2]Hoja1!$B$76</f>
        <v>0</v>
      </c>
      <c r="G1009" s="869" t="s">
        <v>985</v>
      </c>
      <c r="H1009" s="869" t="s">
        <v>1186</v>
      </c>
      <c r="I1009" s="869"/>
      <c r="J1009" s="869" t="s">
        <v>2123</v>
      </c>
      <c r="K1009" s="880" t="s">
        <v>2264</v>
      </c>
    </row>
    <row r="1010" spans="1:11" s="866" customFormat="1" ht="28.8" x14ac:dyDescent="0.3">
      <c r="A1010" s="869" t="s">
        <v>2118</v>
      </c>
      <c r="B1010" s="881">
        <f>'[1]PLAN DE DESARROLLO 2024 - 2027'!$M$161</f>
        <v>0.24647581985093744</v>
      </c>
      <c r="C1010" s="869" t="s">
        <v>2120</v>
      </c>
      <c r="D1010" s="878">
        <f>'[1]PLAN DE DESARROLLO 2024 - 2027'!$M$166</f>
        <v>0.23451309458253802</v>
      </c>
      <c r="E1010" s="869" t="s">
        <v>2122</v>
      </c>
      <c r="F1010" s="879">
        <f>[2]Hoja1!$B$76</f>
        <v>0</v>
      </c>
      <c r="G1010" s="869" t="s">
        <v>986</v>
      </c>
      <c r="H1010" s="869" t="s">
        <v>1187</v>
      </c>
      <c r="I1010" s="869"/>
      <c r="J1010" s="869" t="s">
        <v>2123</v>
      </c>
      <c r="K1010" s="880" t="s">
        <v>2264</v>
      </c>
    </row>
    <row r="1011" spans="1:11" s="866" customFormat="1" ht="57.6" x14ac:dyDescent="0.3">
      <c r="A1011" s="869" t="s">
        <v>2151</v>
      </c>
      <c r="B1011" s="877">
        <f>'[1]PLAN DE DESARROLLO 2024 - 2027'!$M$4</f>
        <v>0.24028917333263158</v>
      </c>
      <c r="C1011" s="869" t="s">
        <v>2157</v>
      </c>
      <c r="D1011" s="878">
        <f>'[1]PLAN DE DESARROLLO 2024 - 2027'!$M$20</f>
        <v>0.2170625911038922</v>
      </c>
      <c r="E1011" s="869" t="s">
        <v>2158</v>
      </c>
      <c r="F1011" s="879">
        <f>[2]Hoja1!$B$137</f>
        <v>0.211759440843759</v>
      </c>
      <c r="G1011" s="869" t="s">
        <v>169</v>
      </c>
      <c r="H1011" s="869" t="s">
        <v>170</v>
      </c>
      <c r="I1011" s="869"/>
      <c r="J1011" s="869" t="s">
        <v>162</v>
      </c>
      <c r="K1011" s="880" t="s">
        <v>2264</v>
      </c>
    </row>
    <row r="1012" spans="1:11" s="866" customFormat="1" ht="43.2" x14ac:dyDescent="0.3">
      <c r="A1012" s="869" t="s">
        <v>2151</v>
      </c>
      <c r="B1012" s="877">
        <f>'[1]PLAN DE DESARROLLO 2024 - 2027'!$M$4</f>
        <v>0.24028917333263158</v>
      </c>
      <c r="C1012" s="869" t="s">
        <v>2157</v>
      </c>
      <c r="D1012" s="878">
        <f>'[1]PLAN DE DESARROLLO 2024 - 2027'!$M$20</f>
        <v>0.2170625911038922</v>
      </c>
      <c r="E1012" s="869" t="s">
        <v>2158</v>
      </c>
      <c r="F1012" s="879">
        <f>[2]Hoja1!$B$137</f>
        <v>0.211759440843759</v>
      </c>
      <c r="G1012" s="869" t="s">
        <v>171</v>
      </c>
      <c r="H1012" s="869" t="s">
        <v>172</v>
      </c>
      <c r="I1012" s="869"/>
      <c r="J1012" s="869" t="s">
        <v>2159</v>
      </c>
      <c r="K1012" s="880" t="s">
        <v>2264</v>
      </c>
    </row>
    <row r="1013" spans="1:11" s="866" customFormat="1" ht="43.2" x14ac:dyDescent="0.3">
      <c r="A1013" s="869" t="s">
        <v>2151</v>
      </c>
      <c r="B1013" s="877">
        <f>'[1]PLAN DE DESARROLLO 2024 - 2027'!$M$4</f>
        <v>0.24028917333263158</v>
      </c>
      <c r="C1013" s="869" t="s">
        <v>2157</v>
      </c>
      <c r="D1013" s="878">
        <f>'[1]PLAN DE DESARROLLO 2024 - 2027'!$M$20</f>
        <v>0.2170625911038922</v>
      </c>
      <c r="E1013" s="869" t="s">
        <v>1629</v>
      </c>
      <c r="F1013" s="879">
        <f>[2]Hoja1!$B$139</f>
        <v>0.25787869115937234</v>
      </c>
      <c r="G1013" s="869" t="s">
        <v>182</v>
      </c>
      <c r="H1013" s="869" t="s">
        <v>183</v>
      </c>
      <c r="I1013" s="869"/>
      <c r="J1013" s="869" t="s">
        <v>162</v>
      </c>
      <c r="K1013" s="880" t="s">
        <v>2264</v>
      </c>
    </row>
    <row r="1014" spans="1:11" s="866" customFormat="1" ht="28.8" x14ac:dyDescent="0.3">
      <c r="A1014" s="869" t="s">
        <v>2151</v>
      </c>
      <c r="B1014" s="877">
        <f>'[1]PLAN DE DESARROLLO 2024 - 2027'!$M$4</f>
        <v>0.24028917333263158</v>
      </c>
      <c r="C1014" s="869" t="s">
        <v>2157</v>
      </c>
      <c r="D1014" s="878">
        <f>'[1]PLAN DE DESARROLLO 2024 - 2027'!$M$20</f>
        <v>0.2170625911038922</v>
      </c>
      <c r="E1014" s="869" t="s">
        <v>1629</v>
      </c>
      <c r="F1014" s="879">
        <f>[2]Hoja1!$B$139</f>
        <v>0.25787869115937234</v>
      </c>
      <c r="G1014" s="869" t="s">
        <v>184</v>
      </c>
      <c r="H1014" s="869" t="s">
        <v>185</v>
      </c>
      <c r="I1014" s="869"/>
      <c r="J1014" s="869" t="s">
        <v>162</v>
      </c>
      <c r="K1014" s="880" t="s">
        <v>2264</v>
      </c>
    </row>
    <row r="1015" spans="1:11" s="866" customFormat="1" ht="43.2" x14ac:dyDescent="0.3">
      <c r="A1015" s="869" t="s">
        <v>2205</v>
      </c>
      <c r="B1015" s="877">
        <f>'[1]PLAN DE DESARROLLO 2024 - 2027'!$M$46</f>
        <v>0.25251661967012345</v>
      </c>
      <c r="C1015" s="869" t="s">
        <v>2206</v>
      </c>
      <c r="D1015" s="878">
        <f>'[1]PLAN DE DESARROLLO 2024 - 2027'!$M$47</f>
        <v>0.26592582694462413</v>
      </c>
      <c r="E1015" s="869" t="s">
        <v>2218</v>
      </c>
      <c r="F1015" s="879">
        <f>[2]Hoja1!$B$62</f>
        <v>0.40093061935688268</v>
      </c>
      <c r="G1015" s="869" t="s">
        <v>400</v>
      </c>
      <c r="H1015" s="869" t="s">
        <v>401</v>
      </c>
      <c r="I1015" s="869"/>
      <c r="J1015" s="869" t="s">
        <v>2207</v>
      </c>
      <c r="K1015" s="880" t="s">
        <v>2264</v>
      </c>
    </row>
    <row r="1016" spans="1:11" s="866" customFormat="1" ht="43.2" x14ac:dyDescent="0.3">
      <c r="A1016" s="869" t="s">
        <v>2205</v>
      </c>
      <c r="B1016" s="877">
        <f>'[1]PLAN DE DESARROLLO 2024 - 2027'!$M$46</f>
        <v>0.25251661967012345</v>
      </c>
      <c r="C1016" s="869" t="s">
        <v>2206</v>
      </c>
      <c r="D1016" s="878">
        <f>'[1]PLAN DE DESARROLLO 2024 - 2027'!$M$47</f>
        <v>0.26592582694462413</v>
      </c>
      <c r="E1016" s="869" t="s">
        <v>2218</v>
      </c>
      <c r="F1016" s="879">
        <f>[2]Hoja1!$B$62</f>
        <v>0.40093061935688268</v>
      </c>
      <c r="G1016" s="869" t="s">
        <v>402</v>
      </c>
      <c r="H1016" s="869" t="s">
        <v>403</v>
      </c>
      <c r="I1016" s="869"/>
      <c r="J1016" s="869" t="s">
        <v>2207</v>
      </c>
      <c r="K1016" s="880" t="s">
        <v>2264</v>
      </c>
    </row>
    <row r="1017" spans="1:11" s="866" customFormat="1" ht="28.8" x14ac:dyDescent="0.3">
      <c r="A1017" s="869" t="s">
        <v>2205</v>
      </c>
      <c r="B1017" s="877">
        <f>'[1]PLAN DE DESARROLLO 2024 - 2027'!$M$46</f>
        <v>0.25251661967012345</v>
      </c>
      <c r="C1017" s="869" t="s">
        <v>2206</v>
      </c>
      <c r="D1017" s="878">
        <f>'[1]PLAN DE DESARROLLO 2024 - 2027'!$M$47</f>
        <v>0.26592582694462413</v>
      </c>
      <c r="E1017" s="869" t="s">
        <v>1654</v>
      </c>
      <c r="F1017" s="879">
        <f>[2]Hoja1!$B$67</f>
        <v>0.60631944444444441</v>
      </c>
      <c r="G1017" s="869" t="s">
        <v>488</v>
      </c>
      <c r="H1017" s="869" t="s">
        <v>489</v>
      </c>
      <c r="I1017" s="869"/>
      <c r="J1017" s="869" t="s">
        <v>490</v>
      </c>
      <c r="K1017" s="880" t="s">
        <v>2264</v>
      </c>
    </row>
    <row r="1018" spans="1:11" s="866" customFormat="1" ht="28.8" x14ac:dyDescent="0.3">
      <c r="A1018" s="869" t="s">
        <v>2205</v>
      </c>
      <c r="B1018" s="877">
        <f>'[1]PLAN DE DESARROLLO 2024 - 2027'!$M$46</f>
        <v>0.25251661967012345</v>
      </c>
      <c r="C1018" s="869" t="s">
        <v>2206</v>
      </c>
      <c r="D1018" s="878">
        <f>'[1]PLAN DE DESARROLLO 2024 - 2027'!$M$47</f>
        <v>0.26592582694462413</v>
      </c>
      <c r="E1018" s="869" t="s">
        <v>1654</v>
      </c>
      <c r="F1018" s="879">
        <f>[2]Hoja1!$B$67</f>
        <v>0.60631944444444441</v>
      </c>
      <c r="G1018" s="869" t="s">
        <v>491</v>
      </c>
      <c r="H1018" s="869" t="s">
        <v>492</v>
      </c>
      <c r="I1018" s="869"/>
      <c r="J1018" s="869" t="s">
        <v>490</v>
      </c>
      <c r="K1018" s="880" t="s">
        <v>2264</v>
      </c>
    </row>
    <row r="1019" spans="1:11" s="866" customFormat="1" ht="28.8" x14ac:dyDescent="0.3">
      <c r="A1019" s="869" t="s">
        <v>2025</v>
      </c>
      <c r="B1019" s="881">
        <f>'[1]PLAN DE DESARROLLO 2024 - 2027'!$M$123</f>
        <v>0.20174333228533195</v>
      </c>
      <c r="C1019" s="869" t="s">
        <v>2055</v>
      </c>
      <c r="D1019" s="878">
        <f>'[1]PLAN DE DESARROLLO 2024 - 2027'!$M$130</f>
        <v>9.8146749999999991E-2</v>
      </c>
      <c r="E1019" s="869" t="s">
        <v>2056</v>
      </c>
      <c r="F1019" s="879">
        <f>[2]Hoja1!$B$20</f>
        <v>3.3340000000000002E-2</v>
      </c>
      <c r="G1019" s="869" t="s">
        <v>834</v>
      </c>
      <c r="H1019" s="869" t="s">
        <v>1292</v>
      </c>
      <c r="I1019" s="869"/>
      <c r="J1019" s="869" t="s">
        <v>767</v>
      </c>
      <c r="K1019" s="880" t="s">
        <v>2264</v>
      </c>
    </row>
    <row r="1020" spans="1:11" s="866" customFormat="1" ht="28.8" x14ac:dyDescent="0.3">
      <c r="A1020" s="869" t="s">
        <v>2025</v>
      </c>
      <c r="B1020" s="881">
        <f>'[1]PLAN DE DESARROLLO 2024 - 2027'!$M$123</f>
        <v>0.20174333228533195</v>
      </c>
      <c r="C1020" s="869" t="s">
        <v>2055</v>
      </c>
      <c r="D1020" s="878">
        <f>'[1]PLAN DE DESARROLLO 2024 - 2027'!$M$130</f>
        <v>9.8146749999999991E-2</v>
      </c>
      <c r="E1020" s="869" t="s">
        <v>2056</v>
      </c>
      <c r="F1020" s="879">
        <f>[2]Hoja1!$B$20</f>
        <v>3.3340000000000002E-2</v>
      </c>
      <c r="G1020" s="869" t="s">
        <v>835</v>
      </c>
      <c r="H1020" s="869" t="s">
        <v>1293</v>
      </c>
      <c r="I1020" s="869"/>
      <c r="J1020" s="869" t="s">
        <v>2057</v>
      </c>
      <c r="K1020" s="880" t="s">
        <v>2264</v>
      </c>
    </row>
    <row r="1021" spans="1:11" s="866" customFormat="1" ht="28.8" x14ac:dyDescent="0.3">
      <c r="A1021" s="869" t="s">
        <v>2118</v>
      </c>
      <c r="B1021" s="881">
        <f>'[1]PLAN DE DESARROLLO 2024 - 2027'!$M$161</f>
        <v>0.24647581985093744</v>
      </c>
      <c r="C1021" s="869" t="s">
        <v>2142</v>
      </c>
      <c r="D1021" s="878">
        <f>'[1]PLAN DE DESARROLLO 2024 - 2027'!$M$191</f>
        <v>0.22981556695992181</v>
      </c>
      <c r="E1021" s="869" t="s">
        <v>2149</v>
      </c>
      <c r="F1021" s="879">
        <f>[2]Hoja1!$B$81</f>
        <v>0.1875</v>
      </c>
      <c r="G1021" s="869" t="s">
        <v>1063</v>
      </c>
      <c r="H1021" s="869" t="s">
        <v>1259</v>
      </c>
      <c r="I1021" s="869"/>
      <c r="J1021" s="869" t="s">
        <v>2150</v>
      </c>
      <c r="K1021" s="880" t="s">
        <v>2264</v>
      </c>
    </row>
    <row r="1022" spans="1:11" s="866" customFormat="1" ht="28.8" x14ac:dyDescent="0.3">
      <c r="A1022" s="869" t="s">
        <v>2118</v>
      </c>
      <c r="B1022" s="881">
        <f>'[1]PLAN DE DESARROLLO 2024 - 2027'!$M$161</f>
        <v>0.24647581985093744</v>
      </c>
      <c r="C1022" s="869" t="s">
        <v>2142</v>
      </c>
      <c r="D1022" s="878">
        <f>'[1]PLAN DE DESARROLLO 2024 - 2027'!$M$191</f>
        <v>0.22981556695992181</v>
      </c>
      <c r="E1022" s="869" t="s">
        <v>2149</v>
      </c>
      <c r="F1022" s="879">
        <f>[2]Hoja1!$B$81</f>
        <v>0.1875</v>
      </c>
      <c r="G1022" s="869" t="s">
        <v>1065</v>
      </c>
      <c r="H1022" s="869" t="s">
        <v>1260</v>
      </c>
      <c r="I1022" s="869"/>
      <c r="J1022" s="869" t="s">
        <v>2150</v>
      </c>
      <c r="K1022" s="880" t="s">
        <v>2264</v>
      </c>
    </row>
    <row r="1023" spans="1:11" s="866" customFormat="1" ht="28.8" x14ac:dyDescent="0.3">
      <c r="A1023" s="869" t="s">
        <v>2025</v>
      </c>
      <c r="B1023" s="881">
        <f>'[1]PLAN DE DESARROLLO 2024 - 2027'!$M$123</f>
        <v>0.20174333228533195</v>
      </c>
      <c r="C1023" s="869" t="s">
        <v>2055</v>
      </c>
      <c r="D1023" s="878">
        <f>'[1]PLAN DE DESARROLLO 2024 - 2027'!$M$130</f>
        <v>9.8146749999999991E-2</v>
      </c>
      <c r="E1023" s="869" t="s">
        <v>2056</v>
      </c>
      <c r="F1023" s="879">
        <f>[2]Hoja1!$B$20</f>
        <v>3.3340000000000002E-2</v>
      </c>
      <c r="G1023" s="869" t="s">
        <v>837</v>
      </c>
      <c r="H1023" s="869" t="s">
        <v>1294</v>
      </c>
      <c r="I1023" s="869"/>
      <c r="J1023" s="869" t="s">
        <v>2058</v>
      </c>
      <c r="K1023" s="880" t="s">
        <v>2264</v>
      </c>
    </row>
    <row r="1024" spans="1:11" s="866" customFormat="1" ht="28.8" x14ac:dyDescent="0.3">
      <c r="A1024" s="869" t="s">
        <v>2025</v>
      </c>
      <c r="B1024" s="881">
        <f>'[1]PLAN DE DESARROLLO 2024 - 2027'!$M$123</f>
        <v>0.20174333228533195</v>
      </c>
      <c r="C1024" s="869" t="s">
        <v>2055</v>
      </c>
      <c r="D1024" s="878">
        <f>'[1]PLAN DE DESARROLLO 2024 - 2027'!$M$130</f>
        <v>9.8146749999999991E-2</v>
      </c>
      <c r="E1024" s="869" t="s">
        <v>1806</v>
      </c>
      <c r="F1024" s="879">
        <f>[2]Hoja1!$B$80</f>
        <v>6.6666666666666666E-2</v>
      </c>
      <c r="G1024" s="869" t="s">
        <v>847</v>
      </c>
      <c r="H1024" s="869" t="s">
        <v>1302</v>
      </c>
      <c r="I1024" s="869"/>
      <c r="J1024" s="869" t="s">
        <v>1540</v>
      </c>
      <c r="K1024" s="880" t="s">
        <v>2264</v>
      </c>
    </row>
    <row r="1025" spans="1:11" s="866" customFormat="1" ht="28.8" x14ac:dyDescent="0.3">
      <c r="A1025" s="869" t="s">
        <v>2025</v>
      </c>
      <c r="B1025" s="881">
        <f>'[1]PLAN DE DESARROLLO 2024 - 2027'!$M$123</f>
        <v>0.20174333228533195</v>
      </c>
      <c r="C1025" s="869" t="s">
        <v>2055</v>
      </c>
      <c r="D1025" s="878">
        <f>'[1]PLAN DE DESARROLLO 2024 - 2027'!$M$130</f>
        <v>9.8146749999999991E-2</v>
      </c>
      <c r="E1025" s="869" t="s">
        <v>1806</v>
      </c>
      <c r="F1025" s="879">
        <f>[2]Hoja1!$B$80</f>
        <v>6.6666666666666666E-2</v>
      </c>
      <c r="G1025" s="869" t="s">
        <v>848</v>
      </c>
      <c r="H1025" s="869" t="s">
        <v>1303</v>
      </c>
      <c r="I1025" s="869"/>
      <c r="J1025" s="869" t="s">
        <v>1540</v>
      </c>
      <c r="K1025" s="880" t="s">
        <v>2264</v>
      </c>
    </row>
    <row r="1026" spans="1:11" s="866" customFormat="1" x14ac:dyDescent="0.3">
      <c r="A1026" s="869" t="s">
        <v>2025</v>
      </c>
      <c r="B1026" s="881">
        <f>'[1]PLAN DE DESARROLLO 2024 - 2027'!$M$123</f>
        <v>0.20174333228533195</v>
      </c>
      <c r="C1026" s="869" t="s">
        <v>2055</v>
      </c>
      <c r="D1026" s="878">
        <f>'[1]PLAN DE DESARROLLO 2024 - 2027'!$M$130</f>
        <v>9.8146749999999991E-2</v>
      </c>
      <c r="E1026" s="869" t="s">
        <v>2059</v>
      </c>
      <c r="F1026" s="879">
        <f>[2]Hoja1!$B$85</f>
        <v>0.10056933333333333</v>
      </c>
      <c r="G1026" s="869" t="s">
        <v>839</v>
      </c>
      <c r="H1026" s="869" t="s">
        <v>1295</v>
      </c>
      <c r="I1026" s="869"/>
      <c r="J1026" s="869" t="s">
        <v>698</v>
      </c>
      <c r="K1026" s="880" t="s">
        <v>2264</v>
      </c>
    </row>
    <row r="1027" spans="1:11" s="866" customFormat="1" x14ac:dyDescent="0.3">
      <c r="A1027" s="869" t="s">
        <v>2025</v>
      </c>
      <c r="B1027" s="881">
        <f>'[1]PLAN DE DESARROLLO 2024 - 2027'!$M$123</f>
        <v>0.20174333228533195</v>
      </c>
      <c r="C1027" s="869" t="s">
        <v>2055</v>
      </c>
      <c r="D1027" s="878">
        <f>'[1]PLAN DE DESARROLLO 2024 - 2027'!$M$130</f>
        <v>9.8146749999999991E-2</v>
      </c>
      <c r="E1027" s="869" t="s">
        <v>2059</v>
      </c>
      <c r="F1027" s="879">
        <f>[2]Hoja1!$B$85</f>
        <v>0.10056933333333333</v>
      </c>
      <c r="G1027" s="869" t="s">
        <v>840</v>
      </c>
      <c r="H1027" s="869" t="s">
        <v>1296</v>
      </c>
      <c r="I1027" s="869"/>
      <c r="J1027" s="869" t="s">
        <v>698</v>
      </c>
      <c r="K1027" s="880" t="s">
        <v>2264</v>
      </c>
    </row>
    <row r="1028" spans="1:11" s="866" customFormat="1" ht="28.8" x14ac:dyDescent="0.3">
      <c r="A1028" s="869" t="s">
        <v>2025</v>
      </c>
      <c r="B1028" s="881">
        <f>'[1]PLAN DE DESARROLLO 2024 - 2027'!$M$123</f>
        <v>0.20174333228533195</v>
      </c>
      <c r="C1028" s="869" t="s">
        <v>2055</v>
      </c>
      <c r="D1028" s="878">
        <f>'[1]PLAN DE DESARROLLO 2024 - 2027'!$M$130</f>
        <v>9.8146749999999991E-2</v>
      </c>
      <c r="E1028" s="869" t="s">
        <v>2059</v>
      </c>
      <c r="F1028" s="879">
        <f>[2]Hoja1!$B$85</f>
        <v>0.10056933333333333</v>
      </c>
      <c r="G1028" s="869" t="s">
        <v>841</v>
      </c>
      <c r="H1028" s="869" t="s">
        <v>1297</v>
      </c>
      <c r="I1028" s="869"/>
      <c r="J1028" s="869" t="s">
        <v>698</v>
      </c>
      <c r="K1028" s="880" t="s">
        <v>2264</v>
      </c>
    </row>
    <row r="1029" spans="1:11" s="866" customFormat="1" ht="28.8" x14ac:dyDescent="0.3">
      <c r="A1029" s="869" t="s">
        <v>2025</v>
      </c>
      <c r="B1029" s="881">
        <f>'[1]PLAN DE DESARROLLO 2024 - 2027'!$M$123</f>
        <v>0.20174333228533195</v>
      </c>
      <c r="C1029" s="869" t="s">
        <v>2055</v>
      </c>
      <c r="D1029" s="878">
        <f>'[1]PLAN DE DESARROLLO 2024 - 2027'!$M$130</f>
        <v>9.8146749999999991E-2</v>
      </c>
      <c r="E1029" s="869" t="s">
        <v>2061</v>
      </c>
      <c r="F1029" s="879">
        <f>[2]Hoja1!$B$98</f>
        <v>0.25802750000000002</v>
      </c>
      <c r="G1029" s="869" t="s">
        <v>844</v>
      </c>
      <c r="H1029" s="869" t="s">
        <v>1871</v>
      </c>
      <c r="I1029" s="869"/>
      <c r="J1029" s="869" t="s">
        <v>698</v>
      </c>
      <c r="K1029" s="880" t="s">
        <v>2264</v>
      </c>
    </row>
    <row r="1030" spans="1:11" s="866" customFormat="1" ht="28.8" x14ac:dyDescent="0.3">
      <c r="A1030" s="869" t="s">
        <v>2118</v>
      </c>
      <c r="B1030" s="881">
        <f>'[1]PLAN DE DESARROLLO 2024 - 2027'!$M$161</f>
        <v>0.24647581985093744</v>
      </c>
      <c r="C1030" s="869" t="s">
        <v>2124</v>
      </c>
      <c r="D1030" s="878">
        <f>'[1]PLAN DE DESARROLLO 2024 - 2027'!$M$175</f>
        <v>0.32167780464535306</v>
      </c>
      <c r="E1030" s="869" t="s">
        <v>2135</v>
      </c>
      <c r="F1030" s="879">
        <f>[2]Hoja1!$B$83</f>
        <v>0.32545032067931901</v>
      </c>
      <c r="G1030" s="869" t="s">
        <v>991</v>
      </c>
      <c r="H1030" s="869" t="s">
        <v>1192</v>
      </c>
      <c r="I1030" s="869"/>
      <c r="J1030" s="869" t="s">
        <v>683</v>
      </c>
      <c r="K1030" s="880" t="s">
        <v>2264</v>
      </c>
    </row>
    <row r="1031" spans="1:11" s="866" customFormat="1" ht="28.8" x14ac:dyDescent="0.3">
      <c r="A1031" s="869" t="s">
        <v>2118</v>
      </c>
      <c r="B1031" s="881">
        <f>'[1]PLAN DE DESARROLLO 2024 - 2027'!$M$161</f>
        <v>0.24647581985093744</v>
      </c>
      <c r="C1031" s="869" t="s">
        <v>2124</v>
      </c>
      <c r="D1031" s="878">
        <f>'[1]PLAN DE DESARROLLO 2024 - 2027'!$M$175</f>
        <v>0.32167780464535306</v>
      </c>
      <c r="E1031" s="869" t="s">
        <v>2135</v>
      </c>
      <c r="F1031" s="879">
        <f>[2]Hoja1!$B$83</f>
        <v>0.32545032067931901</v>
      </c>
      <c r="G1031" s="869" t="s">
        <v>992</v>
      </c>
      <c r="H1031" s="869" t="s">
        <v>1193</v>
      </c>
      <c r="I1031" s="869"/>
      <c r="J1031" s="869" t="s">
        <v>683</v>
      </c>
      <c r="K1031" s="880" t="s">
        <v>2264</v>
      </c>
    </row>
    <row r="1032" spans="1:11" s="866" customFormat="1" ht="28.8" x14ac:dyDescent="0.3">
      <c r="A1032" s="869" t="s">
        <v>2118</v>
      </c>
      <c r="B1032" s="881">
        <f>'[1]PLAN DE DESARROLLO 2024 - 2027'!$M$161</f>
        <v>0.24647581985093744</v>
      </c>
      <c r="C1032" s="869" t="s">
        <v>2124</v>
      </c>
      <c r="D1032" s="878">
        <f>'[1]PLAN DE DESARROLLO 2024 - 2027'!$M$175</f>
        <v>0.32167780464535306</v>
      </c>
      <c r="E1032" s="869" t="s">
        <v>2135</v>
      </c>
      <c r="F1032" s="879">
        <f>[2]Hoja1!$B$83</f>
        <v>0.32545032067931901</v>
      </c>
      <c r="G1032" s="869" t="s">
        <v>993</v>
      </c>
      <c r="H1032" s="869" t="s">
        <v>1194</v>
      </c>
      <c r="I1032" s="869"/>
      <c r="J1032" s="869" t="s">
        <v>683</v>
      </c>
      <c r="K1032" s="880" t="s">
        <v>2264</v>
      </c>
    </row>
    <row r="1033" spans="1:11" s="866" customFormat="1" ht="28.8" x14ac:dyDescent="0.3">
      <c r="A1033" s="869" t="s">
        <v>2118</v>
      </c>
      <c r="B1033" s="881">
        <f>'[1]PLAN DE DESARROLLO 2024 - 2027'!$M$161</f>
        <v>0.24647581985093744</v>
      </c>
      <c r="C1033" s="869" t="s">
        <v>2124</v>
      </c>
      <c r="D1033" s="878">
        <f>'[1]PLAN DE DESARROLLO 2024 - 2027'!$M$175</f>
        <v>0.32167780464535306</v>
      </c>
      <c r="E1033" s="869" t="s">
        <v>2135</v>
      </c>
      <c r="F1033" s="879">
        <f>[2]Hoja1!$B$83</f>
        <v>0.32545032067931901</v>
      </c>
      <c r="G1033" s="869" t="s">
        <v>994</v>
      </c>
      <c r="H1033" s="869" t="s">
        <v>1195</v>
      </c>
      <c r="I1033" s="869"/>
      <c r="J1033" s="869" t="s">
        <v>683</v>
      </c>
      <c r="K1033" s="880" t="s">
        <v>2264</v>
      </c>
    </row>
    <row r="1034" spans="1:11" s="866" customFormat="1" ht="28.8" x14ac:dyDescent="0.3">
      <c r="A1034" s="869" t="s">
        <v>2118</v>
      </c>
      <c r="B1034" s="881">
        <f>'[1]PLAN DE DESARROLLO 2024 - 2027'!$M$161</f>
        <v>0.24647581985093744</v>
      </c>
      <c r="C1034" s="869" t="s">
        <v>2124</v>
      </c>
      <c r="D1034" s="878">
        <f>'[1]PLAN DE DESARROLLO 2024 - 2027'!$M$175</f>
        <v>0.32167780464535306</v>
      </c>
      <c r="E1034" s="869" t="s">
        <v>2135</v>
      </c>
      <c r="F1034" s="879">
        <f>[2]Hoja1!$B$83</f>
        <v>0.32545032067931901</v>
      </c>
      <c r="G1034" s="869" t="s">
        <v>995</v>
      </c>
      <c r="H1034" s="869" t="s">
        <v>1556</v>
      </c>
      <c r="I1034" s="869"/>
      <c r="J1034" s="869" t="s">
        <v>683</v>
      </c>
      <c r="K1034" s="880" t="s">
        <v>2264</v>
      </c>
    </row>
    <row r="1035" spans="1:11" s="866" customFormat="1" ht="28.8" x14ac:dyDescent="0.3">
      <c r="A1035" s="869" t="s">
        <v>2076</v>
      </c>
      <c r="B1035" s="881">
        <f>'[1]PLAN DE DESARROLLO 2024 - 2027'!$M$92</f>
        <v>0.25050860314981654</v>
      </c>
      <c r="C1035" s="869" t="s">
        <v>2077</v>
      </c>
      <c r="D1035" s="878">
        <f>'[1]PLAN DE DESARROLLO 2024 - 2027'!$M$105</f>
        <v>0.1233525</v>
      </c>
      <c r="E1035" s="869" t="s">
        <v>1793</v>
      </c>
      <c r="F1035" s="879">
        <f>[2]Hoja1!$B$14</f>
        <v>0.17424999999999999</v>
      </c>
      <c r="G1035" s="869" t="s">
        <v>725</v>
      </c>
      <c r="H1035" s="869" t="s">
        <v>1427</v>
      </c>
      <c r="I1035" s="869"/>
      <c r="J1035" s="869" t="s">
        <v>58</v>
      </c>
      <c r="K1035" s="880" t="s">
        <v>2264</v>
      </c>
    </row>
    <row r="1036" spans="1:11" s="866" customFormat="1" ht="28.8" x14ac:dyDescent="0.3">
      <c r="A1036" s="869" t="s">
        <v>2076</v>
      </c>
      <c r="B1036" s="881">
        <f>'[1]PLAN DE DESARROLLO 2024 - 2027'!$M$92</f>
        <v>0.25050860314981654</v>
      </c>
      <c r="C1036" s="869" t="s">
        <v>2077</v>
      </c>
      <c r="D1036" s="878">
        <f>'[1]PLAN DE DESARROLLO 2024 - 2027'!$M$105</f>
        <v>0.1233525</v>
      </c>
      <c r="E1036" s="869" t="s">
        <v>1793</v>
      </c>
      <c r="F1036" s="879">
        <f>[2]Hoja1!$B$14</f>
        <v>0.17424999999999999</v>
      </c>
      <c r="G1036" s="869" t="s">
        <v>726</v>
      </c>
      <c r="H1036" s="869" t="s">
        <v>1428</v>
      </c>
      <c r="I1036" s="869"/>
      <c r="J1036" s="869" t="s">
        <v>58</v>
      </c>
      <c r="K1036" s="880" t="s">
        <v>2264</v>
      </c>
    </row>
    <row r="1037" spans="1:11" s="866" customFormat="1" ht="28.8" x14ac:dyDescent="0.3">
      <c r="A1037" s="869" t="s">
        <v>2076</v>
      </c>
      <c r="B1037" s="881">
        <f>'[1]PLAN DE DESARROLLO 2024 - 2027'!$M$92</f>
        <v>0.25050860314981654</v>
      </c>
      <c r="C1037" s="869" t="s">
        <v>2077</v>
      </c>
      <c r="D1037" s="878">
        <f>'[1]PLAN DE DESARROLLO 2024 - 2027'!$M$105</f>
        <v>0.1233525</v>
      </c>
      <c r="E1037" s="869" t="s">
        <v>1793</v>
      </c>
      <c r="F1037" s="879">
        <f>[2]Hoja1!$B$14</f>
        <v>0.17424999999999999</v>
      </c>
      <c r="G1037" s="869" t="s">
        <v>727</v>
      </c>
      <c r="H1037" s="869" t="s">
        <v>1429</v>
      </c>
      <c r="I1037" s="869"/>
      <c r="J1037" s="869" t="s">
        <v>58</v>
      </c>
      <c r="K1037" s="880" t="s">
        <v>2264</v>
      </c>
    </row>
    <row r="1038" spans="1:11" s="866" customFormat="1" ht="28.8" x14ac:dyDescent="0.3">
      <c r="A1038" s="869" t="s">
        <v>2025</v>
      </c>
      <c r="B1038" s="881">
        <f>'[1]PLAN DE DESARROLLO 2024 - 2027'!$M$123</f>
        <v>0.20174333228533195</v>
      </c>
      <c r="C1038" s="869" t="s">
        <v>2055</v>
      </c>
      <c r="D1038" s="878">
        <f>'[1]PLAN DE DESARROLLO 2024 - 2027'!$M$130</f>
        <v>9.8146749999999991E-2</v>
      </c>
      <c r="E1038" s="869" t="s">
        <v>2061</v>
      </c>
      <c r="F1038" s="879">
        <f>[2]Hoja1!$B$98</f>
        <v>0.25802750000000002</v>
      </c>
      <c r="G1038" s="869" t="s">
        <v>845</v>
      </c>
      <c r="H1038" s="869" t="s">
        <v>1300</v>
      </c>
      <c r="I1038" s="869"/>
      <c r="J1038" s="869" t="s">
        <v>698</v>
      </c>
      <c r="K1038" s="880" t="s">
        <v>2264</v>
      </c>
    </row>
    <row r="1039" spans="1:11" s="866" customFormat="1" x14ac:dyDescent="0.3">
      <c r="A1039" s="869" t="s">
        <v>2025</v>
      </c>
      <c r="B1039" s="881">
        <f>'[1]PLAN DE DESARROLLO 2024 - 2027'!$M$123</f>
        <v>0.20174333228533195</v>
      </c>
      <c r="C1039" s="869" t="s">
        <v>2055</v>
      </c>
      <c r="D1039" s="878">
        <f>'[1]PLAN DE DESARROLLO 2024 - 2027'!$M$130</f>
        <v>9.8146749999999991E-2</v>
      </c>
      <c r="E1039" s="869" t="s">
        <v>2061</v>
      </c>
      <c r="F1039" s="879">
        <f>[2]Hoja1!$B$98</f>
        <v>0.25802750000000002</v>
      </c>
      <c r="G1039" s="869" t="s">
        <v>846</v>
      </c>
      <c r="H1039" s="869" t="s">
        <v>1301</v>
      </c>
      <c r="I1039" s="869"/>
      <c r="J1039" s="869" t="s">
        <v>698</v>
      </c>
      <c r="K1039" s="880" t="s">
        <v>2264</v>
      </c>
    </row>
    <row r="1040" spans="1:11" s="866" customFormat="1" ht="28.8" x14ac:dyDescent="0.3">
      <c r="A1040" s="869" t="s">
        <v>2025</v>
      </c>
      <c r="B1040" s="881">
        <f>'[1]PLAN DE DESARROLLO 2024 - 2027'!$M$123</f>
        <v>0.20174333228533195</v>
      </c>
      <c r="C1040" s="869" t="s">
        <v>2033</v>
      </c>
      <c r="D1040" s="883">
        <f>'[1]PLAN DE DESARROLLO 2024 - 2027'!$M$153</f>
        <v>0.24618175</v>
      </c>
      <c r="E1040" s="869" t="s">
        <v>2034</v>
      </c>
      <c r="F1040" s="879">
        <f>[2]Hoja1!$B$82</f>
        <v>0</v>
      </c>
      <c r="G1040" s="869" t="s">
        <v>944</v>
      </c>
      <c r="H1040" s="869" t="s">
        <v>1380</v>
      </c>
      <c r="I1040" s="869"/>
      <c r="J1040" s="869" t="s">
        <v>560</v>
      </c>
      <c r="K1040" s="880" t="s">
        <v>2264</v>
      </c>
    </row>
    <row r="1041" spans="1:11" s="866" customFormat="1" ht="28.8" x14ac:dyDescent="0.3">
      <c r="A1041" s="869" t="s">
        <v>2025</v>
      </c>
      <c r="B1041" s="881">
        <f>'[1]PLAN DE DESARROLLO 2024 - 2027'!$M$123</f>
        <v>0.20174333228533195</v>
      </c>
      <c r="C1041" s="869" t="s">
        <v>2033</v>
      </c>
      <c r="D1041" s="883">
        <f>'[1]PLAN DE DESARROLLO 2024 - 2027'!$M$153</f>
        <v>0.24618175</v>
      </c>
      <c r="E1041" s="869" t="s">
        <v>2034</v>
      </c>
      <c r="F1041" s="879">
        <f>[2]Hoja1!$B$82</f>
        <v>0</v>
      </c>
      <c r="G1041" s="869" t="s">
        <v>945</v>
      </c>
      <c r="H1041" s="869" t="s">
        <v>1381</v>
      </c>
      <c r="I1041" s="869"/>
      <c r="J1041" s="869" t="s">
        <v>560</v>
      </c>
      <c r="K1041" s="880" t="s">
        <v>2264</v>
      </c>
    </row>
    <row r="1042" spans="1:11" s="866" customFormat="1" x14ac:dyDescent="0.3">
      <c r="A1042" s="869" t="s">
        <v>2025</v>
      </c>
      <c r="B1042" s="881">
        <f>'[1]PLAN DE DESARROLLO 2024 - 2027'!$M$123</f>
        <v>0.20174333228533195</v>
      </c>
      <c r="C1042" s="869" t="s">
        <v>2033</v>
      </c>
      <c r="D1042" s="883">
        <f>'[1]PLAN DE DESARROLLO 2024 - 2027'!$M$153</f>
        <v>0.24618175</v>
      </c>
      <c r="E1042" s="869" t="s">
        <v>2034</v>
      </c>
      <c r="F1042" s="879">
        <f>[2]Hoja1!$B$82</f>
        <v>0</v>
      </c>
      <c r="G1042" s="869" t="s">
        <v>946</v>
      </c>
      <c r="H1042" s="869" t="s">
        <v>1382</v>
      </c>
      <c r="I1042" s="869"/>
      <c r="J1042" s="869" t="s">
        <v>560</v>
      </c>
      <c r="K1042" s="880" t="s">
        <v>2264</v>
      </c>
    </row>
    <row r="1043" spans="1:11" s="866" customFormat="1" ht="43.2" x14ac:dyDescent="0.3">
      <c r="A1043" s="869" t="s">
        <v>2025</v>
      </c>
      <c r="B1043" s="881">
        <f>'[1]PLAN DE DESARROLLO 2024 - 2027'!$M$123</f>
        <v>0.20174333228533195</v>
      </c>
      <c r="C1043" s="869" t="s">
        <v>2033</v>
      </c>
      <c r="D1043" s="883">
        <f>'[1]PLAN DE DESARROLLO 2024 - 2027'!$M$153</f>
        <v>0.24618175</v>
      </c>
      <c r="E1043" s="869" t="s">
        <v>2034</v>
      </c>
      <c r="F1043" s="879">
        <f>[2]Hoja1!$B$82</f>
        <v>0</v>
      </c>
      <c r="G1043" s="869" t="s">
        <v>947</v>
      </c>
      <c r="H1043" s="869" t="s">
        <v>1383</v>
      </c>
      <c r="I1043" s="869"/>
      <c r="J1043" s="869" t="s">
        <v>560</v>
      </c>
      <c r="K1043" s="880" t="s">
        <v>2264</v>
      </c>
    </row>
    <row r="1044" spans="1:11" s="866" customFormat="1" x14ac:dyDescent="0.3">
      <c r="A1044" s="869" t="s">
        <v>2076</v>
      </c>
      <c r="B1044" s="881">
        <f>'[1]PLAN DE DESARROLLO 2024 - 2027'!$M$92</f>
        <v>0.25050860314981654</v>
      </c>
      <c r="C1044" s="869" t="s">
        <v>2077</v>
      </c>
      <c r="D1044" s="878">
        <f>'[1]PLAN DE DESARROLLO 2024 - 2027'!$M$105</f>
        <v>0.1233525</v>
      </c>
      <c r="E1044" s="869" t="s">
        <v>2102</v>
      </c>
      <c r="F1044" s="879">
        <f>[2]Hoja1!$B$29</f>
        <v>0.146425</v>
      </c>
      <c r="G1044" s="869" t="s">
        <v>728</v>
      </c>
      <c r="H1044" s="869" t="s">
        <v>1430</v>
      </c>
      <c r="I1044" s="869"/>
      <c r="J1044" s="869" t="s">
        <v>58</v>
      </c>
      <c r="K1044" s="880" t="s">
        <v>2264</v>
      </c>
    </row>
    <row r="1045" spans="1:11" s="866" customFormat="1" x14ac:dyDescent="0.3">
      <c r="A1045" s="869" t="s">
        <v>2076</v>
      </c>
      <c r="B1045" s="881">
        <f>'[1]PLAN DE DESARROLLO 2024 - 2027'!$M$92</f>
        <v>0.25050860314981654</v>
      </c>
      <c r="C1045" s="869" t="s">
        <v>2077</v>
      </c>
      <c r="D1045" s="878">
        <f>'[1]PLAN DE DESARROLLO 2024 - 2027'!$M$105</f>
        <v>0.1233525</v>
      </c>
      <c r="E1045" s="869" t="s">
        <v>2102</v>
      </c>
      <c r="F1045" s="879">
        <f>[2]Hoja1!$B$29</f>
        <v>0.146425</v>
      </c>
      <c r="G1045" s="869" t="s">
        <v>729</v>
      </c>
      <c r="H1045" s="869" t="s">
        <v>1431</v>
      </c>
      <c r="I1045" s="869"/>
      <c r="J1045" s="869" t="s">
        <v>58</v>
      </c>
      <c r="K1045" s="880" t="s">
        <v>2264</v>
      </c>
    </row>
    <row r="1046" spans="1:11" s="866" customFormat="1" ht="28.8" x14ac:dyDescent="0.3">
      <c r="A1046" s="869" t="s">
        <v>2076</v>
      </c>
      <c r="B1046" s="881">
        <f>'[1]PLAN DE DESARROLLO 2024 - 2027'!$M$92</f>
        <v>0.25050860314981654</v>
      </c>
      <c r="C1046" s="869" t="s">
        <v>2077</v>
      </c>
      <c r="D1046" s="878">
        <f>'[1]PLAN DE DESARROLLO 2024 - 2027'!$M$105</f>
        <v>0.1233525</v>
      </c>
      <c r="E1046" s="869" t="s">
        <v>2102</v>
      </c>
      <c r="F1046" s="879">
        <f>[2]Hoja1!$B$29</f>
        <v>0.146425</v>
      </c>
      <c r="G1046" s="869" t="s">
        <v>730</v>
      </c>
      <c r="H1046" s="869" t="s">
        <v>1432</v>
      </c>
      <c r="I1046" s="869"/>
      <c r="J1046" s="869" t="s">
        <v>58</v>
      </c>
      <c r="K1046" s="880" t="s">
        <v>2264</v>
      </c>
    </row>
    <row r="1047" spans="1:11" s="866" customFormat="1" ht="43.2" x14ac:dyDescent="0.3">
      <c r="A1047" s="869" t="s">
        <v>2001</v>
      </c>
      <c r="B1047" s="881">
        <f>'[1]PLAN DE DESARROLLO 2024 - 2027'!$M$198</f>
        <v>3.4556250000000004E-2</v>
      </c>
      <c r="C1047" s="869" t="s">
        <v>2002</v>
      </c>
      <c r="D1047" s="883">
        <f>'[1]PLAN DE DESARROLLO 2024 - 2027'!$M$199</f>
        <v>3.5866666666666672E-2</v>
      </c>
      <c r="E1047" s="869" t="s">
        <v>2006</v>
      </c>
      <c r="F1047" s="884">
        <f>[2]Hoja1!$B$88</f>
        <v>6.9666666666666668E-2</v>
      </c>
      <c r="G1047" s="869" t="s">
        <v>1066</v>
      </c>
      <c r="H1047" s="869" t="s">
        <v>1067</v>
      </c>
      <c r="I1047" s="869"/>
      <c r="J1047" s="869" t="s">
        <v>2007</v>
      </c>
      <c r="K1047" s="880" t="s">
        <v>2264</v>
      </c>
    </row>
    <row r="1048" spans="1:11" s="866" customFormat="1" ht="43.2" x14ac:dyDescent="0.3">
      <c r="A1048" s="869" t="s">
        <v>2001</v>
      </c>
      <c r="B1048" s="881">
        <f>'[1]PLAN DE DESARROLLO 2024 - 2027'!$M$198</f>
        <v>3.4556250000000004E-2</v>
      </c>
      <c r="C1048" s="869" t="s">
        <v>2002</v>
      </c>
      <c r="D1048" s="883">
        <f>'[1]PLAN DE DESARROLLO 2024 - 2027'!$M$199</f>
        <v>3.5866666666666672E-2</v>
      </c>
      <c r="E1048" s="869" t="s">
        <v>2006</v>
      </c>
      <c r="F1048" s="884">
        <f>[2]Hoja1!$B$88</f>
        <v>6.9666666666666668E-2</v>
      </c>
      <c r="G1048" s="869" t="s">
        <v>1069</v>
      </c>
      <c r="H1048" s="869" t="s">
        <v>1070</v>
      </c>
      <c r="I1048" s="869"/>
      <c r="J1048" s="869" t="s">
        <v>2008</v>
      </c>
      <c r="K1048" s="880" t="s">
        <v>2264</v>
      </c>
    </row>
    <row r="1049" spans="1:11" s="866" customFormat="1" ht="43.2" x14ac:dyDescent="0.3">
      <c r="A1049" s="869" t="s">
        <v>2001</v>
      </c>
      <c r="B1049" s="881">
        <f>'[1]PLAN DE DESARROLLO 2024 - 2027'!$M$198</f>
        <v>3.4556250000000004E-2</v>
      </c>
      <c r="C1049" s="869" t="s">
        <v>2002</v>
      </c>
      <c r="D1049" s="883">
        <f>'[1]PLAN DE DESARROLLO 2024 - 2027'!$M$199</f>
        <v>3.5866666666666672E-2</v>
      </c>
      <c r="E1049" s="869" t="s">
        <v>2006</v>
      </c>
      <c r="F1049" s="884">
        <f>[2]Hoja1!$B$88</f>
        <v>6.9666666666666668E-2</v>
      </c>
      <c r="G1049" s="869" t="s">
        <v>1072</v>
      </c>
      <c r="H1049" s="869" t="s">
        <v>1073</v>
      </c>
      <c r="I1049" s="869"/>
      <c r="J1049" s="869" t="s">
        <v>2007</v>
      </c>
      <c r="K1049" s="880" t="s">
        <v>2264</v>
      </c>
    </row>
    <row r="1050" spans="1:11" s="866" customFormat="1" ht="43.2" x14ac:dyDescent="0.3">
      <c r="A1050" s="869" t="s">
        <v>2001</v>
      </c>
      <c r="B1050" s="881">
        <f>'[1]PLAN DE DESARROLLO 2024 - 2027'!$M$198</f>
        <v>3.4556250000000004E-2</v>
      </c>
      <c r="C1050" s="869" t="s">
        <v>2002</v>
      </c>
      <c r="D1050" s="883">
        <f>'[1]PLAN DE DESARROLLO 2024 - 2027'!$M$199</f>
        <v>3.5866666666666672E-2</v>
      </c>
      <c r="E1050" s="869" t="s">
        <v>2006</v>
      </c>
      <c r="F1050" s="884">
        <f>[2]Hoja1!$B$88</f>
        <v>6.9666666666666668E-2</v>
      </c>
      <c r="G1050" s="869" t="s">
        <v>2009</v>
      </c>
      <c r="H1050" s="869" t="s">
        <v>2010</v>
      </c>
      <c r="I1050" s="869"/>
      <c r="J1050" s="869" t="s">
        <v>2007</v>
      </c>
      <c r="K1050" s="880" t="s">
        <v>2264</v>
      </c>
    </row>
    <row r="1051" spans="1:11" s="866" customFormat="1" ht="43.2" x14ac:dyDescent="0.3">
      <c r="A1051" s="869" t="s">
        <v>2001</v>
      </c>
      <c r="B1051" s="881">
        <f>'[1]PLAN DE DESARROLLO 2024 - 2027'!$M$198</f>
        <v>3.4556250000000004E-2</v>
      </c>
      <c r="C1051" s="869" t="s">
        <v>2002</v>
      </c>
      <c r="D1051" s="883">
        <f>'[1]PLAN DE DESARROLLO 2024 - 2027'!$M$199</f>
        <v>3.5866666666666672E-2</v>
      </c>
      <c r="E1051" s="869" t="s">
        <v>2006</v>
      </c>
      <c r="F1051" s="884">
        <f>[2]Hoja1!$B$88</f>
        <v>6.9666666666666668E-2</v>
      </c>
      <c r="G1051" s="869" t="s">
        <v>1076</v>
      </c>
      <c r="H1051" s="869" t="s">
        <v>1077</v>
      </c>
      <c r="I1051" s="869"/>
      <c r="J1051" s="869" t="s">
        <v>2007</v>
      </c>
      <c r="K1051" s="880" t="s">
        <v>2264</v>
      </c>
    </row>
    <row r="1052" spans="1:11" s="866" customFormat="1" ht="43.2" x14ac:dyDescent="0.3">
      <c r="A1052" s="869" t="s">
        <v>2001</v>
      </c>
      <c r="B1052" s="881">
        <f>'[1]PLAN DE DESARROLLO 2024 - 2027'!$M$198</f>
        <v>3.4556250000000004E-2</v>
      </c>
      <c r="C1052" s="869" t="s">
        <v>2002</v>
      </c>
      <c r="D1052" s="883">
        <f>'[1]PLAN DE DESARROLLO 2024 - 2027'!$M$199</f>
        <v>3.5866666666666672E-2</v>
      </c>
      <c r="E1052" s="869" t="s">
        <v>2006</v>
      </c>
      <c r="F1052" s="884">
        <f>[2]Hoja1!$B$88</f>
        <v>6.9666666666666668E-2</v>
      </c>
      <c r="G1052" s="869" t="s">
        <v>1078</v>
      </c>
      <c r="H1052" s="869" t="s">
        <v>1079</v>
      </c>
      <c r="I1052" s="869"/>
      <c r="J1052" s="869" t="s">
        <v>2007</v>
      </c>
      <c r="K1052" s="880" t="s">
        <v>2264</v>
      </c>
    </row>
    <row r="1053" spans="1:11" s="866" customFormat="1" ht="43.2" x14ac:dyDescent="0.3">
      <c r="A1053" s="869" t="s">
        <v>2001</v>
      </c>
      <c r="B1053" s="881">
        <f>'[1]PLAN DE DESARROLLO 2024 - 2027'!$M$198</f>
        <v>3.4556250000000004E-2</v>
      </c>
      <c r="C1053" s="869" t="s">
        <v>2002</v>
      </c>
      <c r="D1053" s="883">
        <f>'[1]PLAN DE DESARROLLO 2024 - 2027'!$M$199</f>
        <v>3.5866666666666672E-2</v>
      </c>
      <c r="E1053" s="869" t="s">
        <v>2006</v>
      </c>
      <c r="F1053" s="884">
        <f>[2]Hoja1!$B$88</f>
        <v>6.9666666666666668E-2</v>
      </c>
      <c r="G1053" s="869" t="s">
        <v>1080</v>
      </c>
      <c r="H1053" s="869" t="s">
        <v>1081</v>
      </c>
      <c r="I1053" s="869"/>
      <c r="J1053" s="869" t="s">
        <v>2007</v>
      </c>
      <c r="K1053" s="880" t="s">
        <v>2264</v>
      </c>
    </row>
    <row r="1054" spans="1:11" s="866" customFormat="1" ht="43.2" x14ac:dyDescent="0.3">
      <c r="A1054" s="869" t="s">
        <v>2001</v>
      </c>
      <c r="B1054" s="881">
        <f>'[1]PLAN DE DESARROLLO 2024 - 2027'!$M$198</f>
        <v>3.4556250000000004E-2</v>
      </c>
      <c r="C1054" s="869" t="s">
        <v>2002</v>
      </c>
      <c r="D1054" s="883">
        <f>'[1]PLAN DE DESARROLLO 2024 - 2027'!$M$199</f>
        <v>3.5866666666666672E-2</v>
      </c>
      <c r="E1054" s="869" t="s">
        <v>2006</v>
      </c>
      <c r="F1054" s="884">
        <f>[2]Hoja1!$B$88</f>
        <v>6.9666666666666668E-2</v>
      </c>
      <c r="G1054" s="869" t="s">
        <v>1082</v>
      </c>
      <c r="H1054" s="869" t="s">
        <v>1083</v>
      </c>
      <c r="I1054" s="869"/>
      <c r="J1054" s="869" t="s">
        <v>2007</v>
      </c>
      <c r="K1054" s="880" t="s">
        <v>2264</v>
      </c>
    </row>
    <row r="1055" spans="1:11" s="866" customFormat="1" ht="43.2" x14ac:dyDescent="0.3">
      <c r="A1055" s="869" t="s">
        <v>2151</v>
      </c>
      <c r="B1055" s="877">
        <f>'[1]PLAN DE DESARROLLO 2024 - 2027'!$M$4</f>
        <v>0.24028917333263158</v>
      </c>
      <c r="C1055" s="869" t="s">
        <v>2157</v>
      </c>
      <c r="D1055" s="878">
        <f>'[1]PLAN DE DESARROLLO 2024 - 2027'!$M$20</f>
        <v>0.2170625911038922</v>
      </c>
      <c r="E1055" s="869" t="s">
        <v>1629</v>
      </c>
      <c r="F1055" s="879">
        <f>[2]Hoja1!$B$139</f>
        <v>0.25787869115937234</v>
      </c>
      <c r="G1055" s="869" t="s">
        <v>186</v>
      </c>
      <c r="H1055" s="869" t="s">
        <v>187</v>
      </c>
      <c r="I1055" s="869"/>
      <c r="J1055" s="869" t="s">
        <v>162</v>
      </c>
      <c r="K1055" s="880" t="s">
        <v>2264</v>
      </c>
    </row>
    <row r="1056" spans="1:11" s="866" customFormat="1" ht="28.8" x14ac:dyDescent="0.3">
      <c r="A1056" s="869" t="s">
        <v>2118</v>
      </c>
      <c r="B1056" s="881">
        <f>'[1]PLAN DE DESARROLLO 2024 - 2027'!$M$161</f>
        <v>0.24647581985093744</v>
      </c>
      <c r="C1056" s="869" t="s">
        <v>2124</v>
      </c>
      <c r="D1056" s="878">
        <f>'[1]PLAN DE DESARROLLO 2024 - 2027'!$M$175</f>
        <v>0.32167780464535306</v>
      </c>
      <c r="E1056" s="869" t="s">
        <v>2125</v>
      </c>
      <c r="F1056" s="879">
        <f>[2]Hoja1!$B$90</f>
        <v>0.25</v>
      </c>
      <c r="G1056" s="869" t="s">
        <v>996</v>
      </c>
      <c r="H1056" s="869" t="s">
        <v>1196</v>
      </c>
      <c r="I1056" s="869"/>
      <c r="J1056" s="869" t="s">
        <v>683</v>
      </c>
      <c r="K1056" s="880" t="s">
        <v>2264</v>
      </c>
    </row>
    <row r="1057" spans="1:11" s="866" customFormat="1" ht="43.2" x14ac:dyDescent="0.3">
      <c r="A1057" s="869" t="s">
        <v>2151</v>
      </c>
      <c r="B1057" s="877">
        <f>'[1]PLAN DE DESARROLLO 2024 - 2027'!$M$4</f>
        <v>0.24028917333263158</v>
      </c>
      <c r="C1057" s="869" t="s">
        <v>2157</v>
      </c>
      <c r="D1057" s="878">
        <f>'[1]PLAN DE DESARROLLO 2024 - 2027'!$M$20</f>
        <v>0.2170625911038922</v>
      </c>
      <c r="E1057" s="869" t="s">
        <v>1629</v>
      </c>
      <c r="F1057" s="879">
        <f>[2]Hoja1!$B$139</f>
        <v>0.25787869115937234</v>
      </c>
      <c r="G1057" s="869" t="s">
        <v>188</v>
      </c>
      <c r="H1057" s="869" t="s">
        <v>189</v>
      </c>
      <c r="I1057" s="869"/>
      <c r="J1057" s="869" t="s">
        <v>162</v>
      </c>
      <c r="K1057" s="880" t="s">
        <v>2264</v>
      </c>
    </row>
    <row r="1058" spans="1:11" s="866" customFormat="1" ht="28.8" x14ac:dyDescent="0.3">
      <c r="A1058" s="869" t="s">
        <v>2151</v>
      </c>
      <c r="B1058" s="877">
        <f>'[1]PLAN DE DESARROLLO 2024 - 2027'!$M$4</f>
        <v>0.24028917333263158</v>
      </c>
      <c r="C1058" s="869" t="s">
        <v>2157</v>
      </c>
      <c r="D1058" s="878">
        <f>'[1]PLAN DE DESARROLLO 2024 - 2027'!$M$20</f>
        <v>0.2170625911038922</v>
      </c>
      <c r="E1058" s="869" t="s">
        <v>1629</v>
      </c>
      <c r="F1058" s="879">
        <f>[2]Hoja1!$B$139</f>
        <v>0.25787869115937234</v>
      </c>
      <c r="G1058" s="869" t="s">
        <v>2164</v>
      </c>
      <c r="H1058" s="869" t="s">
        <v>191</v>
      </c>
      <c r="I1058" s="869"/>
      <c r="J1058" s="869" t="s">
        <v>162</v>
      </c>
      <c r="K1058" s="880" t="s">
        <v>2264</v>
      </c>
    </row>
    <row r="1059" spans="1:11" s="866" customFormat="1" ht="28.8" x14ac:dyDescent="0.3">
      <c r="A1059" s="869" t="s">
        <v>2076</v>
      </c>
      <c r="B1059" s="881">
        <f>'[1]PLAN DE DESARROLLO 2024 - 2027'!$M$92</f>
        <v>0.25050860314981654</v>
      </c>
      <c r="C1059" s="869" t="s">
        <v>2077</v>
      </c>
      <c r="D1059" s="878">
        <f>'[1]PLAN DE DESARROLLO 2024 - 2027'!$M$105</f>
        <v>0.1233525</v>
      </c>
      <c r="E1059" s="869" t="s">
        <v>2102</v>
      </c>
      <c r="F1059" s="879">
        <f>[2]Hoja1!$B$29</f>
        <v>0.146425</v>
      </c>
      <c r="G1059" s="869" t="s">
        <v>731</v>
      </c>
      <c r="H1059" s="869" t="s">
        <v>1433</v>
      </c>
      <c r="I1059" s="869"/>
      <c r="J1059" s="869" t="s">
        <v>58</v>
      </c>
      <c r="K1059" s="880" t="s">
        <v>2264</v>
      </c>
    </row>
    <row r="1060" spans="1:11" s="866" customFormat="1" ht="28.8" x14ac:dyDescent="0.3">
      <c r="A1060" s="869" t="s">
        <v>2076</v>
      </c>
      <c r="B1060" s="881">
        <f>'[1]PLAN DE DESARROLLO 2024 - 2027'!$M$92</f>
        <v>0.25050860314981654</v>
      </c>
      <c r="C1060" s="869" t="s">
        <v>2077</v>
      </c>
      <c r="D1060" s="878">
        <f>'[1]PLAN DE DESARROLLO 2024 - 2027'!$M$105</f>
        <v>0.1233525</v>
      </c>
      <c r="E1060" s="869" t="s">
        <v>1794</v>
      </c>
      <c r="F1060" s="879">
        <f>[2]Hoja1!$B$65</f>
        <v>0</v>
      </c>
      <c r="G1060" s="869" t="s">
        <v>732</v>
      </c>
      <c r="H1060" s="869" t="s">
        <v>1434</v>
      </c>
      <c r="I1060" s="869"/>
      <c r="J1060" s="869" t="s">
        <v>733</v>
      </c>
      <c r="K1060" s="880" t="s">
        <v>2264</v>
      </c>
    </row>
    <row r="1061" spans="1:11" s="866" customFormat="1" ht="28.8" x14ac:dyDescent="0.3">
      <c r="A1061" s="869" t="s">
        <v>2076</v>
      </c>
      <c r="B1061" s="881">
        <f>'[1]PLAN DE DESARROLLO 2024 - 2027'!$M$92</f>
        <v>0.25050860314981654</v>
      </c>
      <c r="C1061" s="869" t="s">
        <v>2077</v>
      </c>
      <c r="D1061" s="878">
        <f>'[1]PLAN DE DESARROLLO 2024 - 2027'!$M$105</f>
        <v>0.1233525</v>
      </c>
      <c r="E1061" s="869" t="s">
        <v>1794</v>
      </c>
      <c r="F1061" s="879">
        <f>[2]Hoja1!$B$65</f>
        <v>0</v>
      </c>
      <c r="G1061" s="869" t="s">
        <v>734</v>
      </c>
      <c r="H1061" s="869" t="s">
        <v>1435</v>
      </c>
      <c r="I1061" s="869"/>
      <c r="J1061" s="869" t="s">
        <v>733</v>
      </c>
      <c r="K1061" s="880" t="s">
        <v>2264</v>
      </c>
    </row>
    <row r="1062" spans="1:11" s="866" customFormat="1" ht="86.4" x14ac:dyDescent="0.3">
      <c r="A1062" s="869" t="s">
        <v>2076</v>
      </c>
      <c r="B1062" s="881">
        <f>'[1]PLAN DE DESARROLLO 2024 - 2027'!$M$92</f>
        <v>0.25050860314981654</v>
      </c>
      <c r="C1062" s="869" t="s">
        <v>2113</v>
      </c>
      <c r="D1062" s="878">
        <f>'[1]PLAN DE DESARROLLO 2024 - 2027'!$M$120</f>
        <v>0.19011249999999999</v>
      </c>
      <c r="E1062" s="869" t="s">
        <v>2114</v>
      </c>
      <c r="F1062" s="879">
        <f>[2]Hoja1!$B$49</f>
        <v>0.16666666666666666</v>
      </c>
      <c r="G1062" s="869" t="s">
        <v>791</v>
      </c>
      <c r="H1062" s="869" t="s">
        <v>2115</v>
      </c>
      <c r="I1062" s="869"/>
      <c r="J1062" s="869" t="s">
        <v>2116</v>
      </c>
      <c r="K1062" s="880" t="s">
        <v>2264</v>
      </c>
    </row>
    <row r="1063" spans="1:11" s="866" customFormat="1" ht="43.2" x14ac:dyDescent="0.3">
      <c r="A1063" s="869" t="s">
        <v>2076</v>
      </c>
      <c r="B1063" s="881">
        <f>'[1]PLAN DE DESARROLLO 2024 - 2027'!$M$92</f>
        <v>0.25050860314981654</v>
      </c>
      <c r="C1063" s="869" t="s">
        <v>2113</v>
      </c>
      <c r="D1063" s="878">
        <f>'[1]PLAN DE DESARROLLO 2024 - 2027'!$M$120</f>
        <v>0.19011249999999999</v>
      </c>
      <c r="E1063" s="869" t="s">
        <v>2114</v>
      </c>
      <c r="F1063" s="879">
        <f>[2]Hoja1!$B$49</f>
        <v>0.16666666666666666</v>
      </c>
      <c r="G1063" s="869" t="s">
        <v>793</v>
      </c>
      <c r="H1063" s="869" t="s">
        <v>1484</v>
      </c>
      <c r="I1063" s="869"/>
      <c r="J1063" s="869" t="s">
        <v>1540</v>
      </c>
      <c r="K1063" s="880" t="s">
        <v>2264</v>
      </c>
    </row>
    <row r="1064" spans="1:11" s="866" customFormat="1" ht="43.2" x14ac:dyDescent="0.3">
      <c r="A1064" s="869" t="s">
        <v>2076</v>
      </c>
      <c r="B1064" s="881">
        <f>'[1]PLAN DE DESARROLLO 2024 - 2027'!$M$92</f>
        <v>0.25050860314981654</v>
      </c>
      <c r="C1064" s="869" t="s">
        <v>2113</v>
      </c>
      <c r="D1064" s="878">
        <f>'[1]PLAN DE DESARROLLO 2024 - 2027'!$M$120</f>
        <v>0.19011249999999999</v>
      </c>
      <c r="E1064" s="869" t="s">
        <v>2114</v>
      </c>
      <c r="F1064" s="879">
        <f>[2]Hoja1!$B$49</f>
        <v>0.16666666666666666</v>
      </c>
      <c r="G1064" s="869" t="s">
        <v>795</v>
      </c>
      <c r="H1064" s="869" t="s">
        <v>1485</v>
      </c>
      <c r="I1064" s="869"/>
      <c r="J1064" s="869" t="s">
        <v>1540</v>
      </c>
      <c r="K1064" s="880" t="s">
        <v>2264</v>
      </c>
    </row>
    <row r="1065" spans="1:11" s="866" customFormat="1" ht="28.8" x14ac:dyDescent="0.3">
      <c r="A1065" s="869" t="s">
        <v>2076</v>
      </c>
      <c r="B1065" s="881">
        <f>'[1]PLAN DE DESARROLLO 2024 - 2027'!$M$92</f>
        <v>0.25050860314981654</v>
      </c>
      <c r="C1065" s="869" t="s">
        <v>2113</v>
      </c>
      <c r="D1065" s="878">
        <f>'[1]PLAN DE DESARROLLO 2024 - 2027'!$M$120</f>
        <v>0.19011249999999999</v>
      </c>
      <c r="E1065" s="869" t="s">
        <v>2117</v>
      </c>
      <c r="F1065" s="879">
        <f>[2]Hoja1!$B$84</f>
        <v>0.26044999999999996</v>
      </c>
      <c r="G1065" s="869" t="s">
        <v>796</v>
      </c>
      <c r="H1065" s="869" t="s">
        <v>1486</v>
      </c>
      <c r="I1065" s="869"/>
      <c r="J1065" s="869" t="s">
        <v>516</v>
      </c>
      <c r="K1065" s="880" t="s">
        <v>2264</v>
      </c>
    </row>
    <row r="1066" spans="1:11" s="866" customFormat="1" ht="28.8" x14ac:dyDescent="0.3">
      <c r="A1066" s="869" t="s">
        <v>2076</v>
      </c>
      <c r="B1066" s="881">
        <f>'[1]PLAN DE DESARROLLO 2024 - 2027'!$M$92</f>
        <v>0.25050860314981654</v>
      </c>
      <c r="C1066" s="869" t="s">
        <v>2113</v>
      </c>
      <c r="D1066" s="878">
        <f>'[1]PLAN DE DESARROLLO 2024 - 2027'!$M$120</f>
        <v>0.19011249999999999</v>
      </c>
      <c r="E1066" s="869" t="s">
        <v>2117</v>
      </c>
      <c r="F1066" s="879">
        <f>[2]Hoja1!$B$84</f>
        <v>0.26044999999999996</v>
      </c>
      <c r="G1066" s="869" t="s">
        <v>797</v>
      </c>
      <c r="H1066" s="869" t="s">
        <v>1487</v>
      </c>
      <c r="I1066" s="869"/>
      <c r="J1066" s="869" t="s">
        <v>516</v>
      </c>
      <c r="K1066" s="880" t="s">
        <v>2264</v>
      </c>
    </row>
    <row r="1067" spans="1:11" s="866" customFormat="1" ht="43.2" x14ac:dyDescent="0.3">
      <c r="A1067" s="869" t="s">
        <v>2076</v>
      </c>
      <c r="B1067" s="881">
        <f>'[1]PLAN DE DESARROLLO 2024 - 2027'!$M$92</f>
        <v>0.25050860314981654</v>
      </c>
      <c r="C1067" s="869" t="s">
        <v>2113</v>
      </c>
      <c r="D1067" s="878">
        <f>'[1]PLAN DE DESARROLLO 2024 - 2027'!$M$120</f>
        <v>0.19011249999999999</v>
      </c>
      <c r="E1067" s="869" t="s">
        <v>2117</v>
      </c>
      <c r="F1067" s="879">
        <f>[2]Hoja1!$B$84</f>
        <v>0.26044999999999996</v>
      </c>
      <c r="G1067" s="869" t="s">
        <v>798</v>
      </c>
      <c r="H1067" s="869" t="s">
        <v>1488</v>
      </c>
      <c r="I1067" s="869"/>
      <c r="J1067" s="869" t="s">
        <v>516</v>
      </c>
      <c r="K1067" s="880" t="s">
        <v>2264</v>
      </c>
    </row>
    <row r="1068" spans="1:11" s="866" customFormat="1" ht="43.2" x14ac:dyDescent="0.3">
      <c r="A1068" s="869" t="s">
        <v>2151</v>
      </c>
      <c r="B1068" s="877">
        <f>'[1]PLAN DE DESARROLLO 2024 - 2027'!$M$4</f>
        <v>0.24028917333263158</v>
      </c>
      <c r="C1068" s="869" t="s">
        <v>2157</v>
      </c>
      <c r="D1068" s="878">
        <f>'[1]PLAN DE DESARROLLO 2024 - 2027'!$M$20</f>
        <v>0.2170625911038922</v>
      </c>
      <c r="E1068" s="869" t="s">
        <v>1629</v>
      </c>
      <c r="F1068" s="879">
        <f>[2]Hoja1!$B$139</f>
        <v>0.25787869115937234</v>
      </c>
      <c r="G1068" s="869" t="s">
        <v>192</v>
      </c>
      <c r="H1068" s="869" t="s">
        <v>193</v>
      </c>
      <c r="I1068" s="869"/>
      <c r="J1068" s="869" t="s">
        <v>162</v>
      </c>
      <c r="K1068" s="880" t="s">
        <v>2264</v>
      </c>
    </row>
    <row r="1069" spans="1:11" s="866" customFormat="1" ht="57.6" x14ac:dyDescent="0.3">
      <c r="A1069" s="869" t="s">
        <v>2151</v>
      </c>
      <c r="B1069" s="877">
        <f>'[1]PLAN DE DESARROLLO 2024 - 2027'!$M$4</f>
        <v>0.24028917333263158</v>
      </c>
      <c r="C1069" s="869" t="s">
        <v>2157</v>
      </c>
      <c r="D1069" s="878">
        <f>'[1]PLAN DE DESARROLLO 2024 - 2027'!$M$20</f>
        <v>0.2170625911038922</v>
      </c>
      <c r="E1069" s="869" t="s">
        <v>1629</v>
      </c>
      <c r="F1069" s="879">
        <f>[2]Hoja1!$B$139</f>
        <v>0.25787869115937234</v>
      </c>
      <c r="G1069" s="869" t="s">
        <v>194</v>
      </c>
      <c r="H1069" s="869" t="s">
        <v>195</v>
      </c>
      <c r="I1069" s="869"/>
      <c r="J1069" s="869" t="s">
        <v>162</v>
      </c>
      <c r="K1069" s="880" t="s">
        <v>2264</v>
      </c>
    </row>
    <row r="1070" spans="1:11" s="866" customFormat="1" ht="43.2" x14ac:dyDescent="0.3">
      <c r="A1070" s="869" t="s">
        <v>2151</v>
      </c>
      <c r="B1070" s="877">
        <f>'[1]PLAN DE DESARROLLO 2024 - 2027'!$M$4</f>
        <v>0.24028917333263158</v>
      </c>
      <c r="C1070" s="869" t="s">
        <v>2157</v>
      </c>
      <c r="D1070" s="878">
        <f>'[1]PLAN DE DESARROLLO 2024 - 2027'!$M$20</f>
        <v>0.2170625911038922</v>
      </c>
      <c r="E1070" s="869" t="s">
        <v>1629</v>
      </c>
      <c r="F1070" s="879">
        <f>[2]Hoja1!$B$139</f>
        <v>0.25787869115937234</v>
      </c>
      <c r="G1070" s="869" t="s">
        <v>196</v>
      </c>
      <c r="H1070" s="869" t="s">
        <v>197</v>
      </c>
      <c r="I1070" s="869"/>
      <c r="J1070" s="869" t="s">
        <v>162</v>
      </c>
      <c r="K1070" s="880" t="s">
        <v>2264</v>
      </c>
    </row>
    <row r="1071" spans="1:11" s="866" customFormat="1" ht="57.6" x14ac:dyDescent="0.3">
      <c r="A1071" s="869" t="s">
        <v>2151</v>
      </c>
      <c r="B1071" s="877">
        <f>'[1]PLAN DE DESARROLLO 2024 - 2027'!$M$4</f>
        <v>0.24028917333263158</v>
      </c>
      <c r="C1071" s="869" t="s">
        <v>2157</v>
      </c>
      <c r="D1071" s="878">
        <f>'[1]PLAN DE DESARROLLO 2024 - 2027'!$M$20</f>
        <v>0.2170625911038922</v>
      </c>
      <c r="E1071" s="869" t="s">
        <v>1629</v>
      </c>
      <c r="F1071" s="879">
        <f>[2]Hoja1!$B$139</f>
        <v>0.25787869115937234</v>
      </c>
      <c r="G1071" s="869" t="s">
        <v>198</v>
      </c>
      <c r="H1071" s="869" t="s">
        <v>199</v>
      </c>
      <c r="I1071" s="869"/>
      <c r="J1071" s="869" t="s">
        <v>162</v>
      </c>
      <c r="K1071" s="880" t="s">
        <v>2264</v>
      </c>
    </row>
    <row r="1072" spans="1:11" s="866" customFormat="1" ht="28.8" x14ac:dyDescent="0.3">
      <c r="A1072" s="869" t="s">
        <v>2151</v>
      </c>
      <c r="B1072" s="877">
        <f>'[1]PLAN DE DESARROLLO 2024 - 2027'!$M$4</f>
        <v>0.24028917333263158</v>
      </c>
      <c r="C1072" s="869" t="s">
        <v>2157</v>
      </c>
      <c r="D1072" s="878">
        <f>'[1]PLAN DE DESARROLLO 2024 - 2027'!$M$20</f>
        <v>0.2170625911038922</v>
      </c>
      <c r="E1072" s="869" t="s">
        <v>1629</v>
      </c>
      <c r="F1072" s="879">
        <f>[2]Hoja1!$B$139</f>
        <v>0.25787869115937234</v>
      </c>
      <c r="G1072" s="869" t="s">
        <v>200</v>
      </c>
      <c r="H1072" s="869" t="s">
        <v>201</v>
      </c>
      <c r="I1072" s="869"/>
      <c r="J1072" s="869" t="s">
        <v>162</v>
      </c>
      <c r="K1072" s="880" t="s">
        <v>2264</v>
      </c>
    </row>
    <row r="1073" spans="1:11" s="866" customFormat="1" ht="28.8" x14ac:dyDescent="0.3">
      <c r="A1073" s="869" t="s">
        <v>2025</v>
      </c>
      <c r="B1073" s="881">
        <f>'[1]PLAN DE DESARROLLO 2024 - 2027'!$M$123</f>
        <v>0.20174333228533195</v>
      </c>
      <c r="C1073" s="869" t="s">
        <v>2033</v>
      </c>
      <c r="D1073" s="883">
        <f>'[1]PLAN DE DESARROLLO 2024 - 2027'!$M$153</f>
        <v>0.24618175</v>
      </c>
      <c r="E1073" s="869" t="s">
        <v>2034</v>
      </c>
      <c r="F1073" s="879">
        <f>[2]Hoja1!$B$82</f>
        <v>0</v>
      </c>
      <c r="G1073" s="869" t="s">
        <v>948</v>
      </c>
      <c r="H1073" s="869" t="s">
        <v>1384</v>
      </c>
      <c r="I1073" s="869"/>
      <c r="J1073" s="869" t="s">
        <v>2035</v>
      </c>
      <c r="K1073" s="880" t="s">
        <v>2264</v>
      </c>
    </row>
    <row r="1074" spans="1:11" s="866" customFormat="1" ht="43.2" x14ac:dyDescent="0.3">
      <c r="A1074" s="869" t="s">
        <v>2025</v>
      </c>
      <c r="B1074" s="881">
        <f>'[1]PLAN DE DESARROLLO 2024 - 2027'!$M$123</f>
        <v>0.20174333228533195</v>
      </c>
      <c r="C1074" s="869" t="s">
        <v>2033</v>
      </c>
      <c r="D1074" s="883">
        <f>'[1]PLAN DE DESARROLLO 2024 - 2027'!$M$153</f>
        <v>0.24618175</v>
      </c>
      <c r="E1074" s="869" t="s">
        <v>2034</v>
      </c>
      <c r="F1074" s="879">
        <f>[2]Hoja1!$B$82</f>
        <v>0</v>
      </c>
      <c r="G1074" s="869" t="s">
        <v>949</v>
      </c>
      <c r="H1074" s="869" t="s">
        <v>1385</v>
      </c>
      <c r="I1074" s="869"/>
      <c r="J1074" s="869" t="s">
        <v>560</v>
      </c>
      <c r="K1074" s="880" t="s">
        <v>2264</v>
      </c>
    </row>
    <row r="1075" spans="1:11" s="866" customFormat="1" ht="57.6" x14ac:dyDescent="0.3">
      <c r="A1075" s="869" t="s">
        <v>2025</v>
      </c>
      <c r="B1075" s="881">
        <f>'[1]PLAN DE DESARROLLO 2024 - 2027'!$M$123</f>
        <v>0.20174333228533195</v>
      </c>
      <c r="C1075" s="869" t="s">
        <v>2033</v>
      </c>
      <c r="D1075" s="883">
        <f>'[1]PLAN DE DESARROLLO 2024 - 2027'!$M$153</f>
        <v>0.24618175</v>
      </c>
      <c r="E1075" s="869" t="s">
        <v>2034</v>
      </c>
      <c r="F1075" s="879">
        <f>[2]Hoja1!$B$82</f>
        <v>0</v>
      </c>
      <c r="G1075" s="869" t="s">
        <v>950</v>
      </c>
      <c r="H1075" s="869" t="s">
        <v>1386</v>
      </c>
      <c r="I1075" s="869"/>
      <c r="J1075" s="869" t="s">
        <v>560</v>
      </c>
      <c r="K1075" s="880" t="s">
        <v>2264</v>
      </c>
    </row>
    <row r="1076" spans="1:11" s="866" customFormat="1" x14ac:dyDescent="0.3">
      <c r="A1076" s="869" t="s">
        <v>2025</v>
      </c>
      <c r="B1076" s="881">
        <f>'[1]PLAN DE DESARROLLO 2024 - 2027'!$M$123</f>
        <v>0.20174333228533195</v>
      </c>
      <c r="C1076" s="869" t="s">
        <v>2033</v>
      </c>
      <c r="D1076" s="883">
        <f>'[1]PLAN DE DESARROLLO 2024 - 2027'!$M$153</f>
        <v>0.24618175</v>
      </c>
      <c r="E1076" s="869" t="s">
        <v>1816</v>
      </c>
      <c r="F1076" s="879">
        <f>[2]Hoja1!$B$86</f>
        <v>8.3283750000000004E-2</v>
      </c>
      <c r="G1076" s="869" t="s">
        <v>922</v>
      </c>
      <c r="H1076" s="869" t="s">
        <v>1361</v>
      </c>
      <c r="I1076" s="869"/>
      <c r="J1076" s="869" t="s">
        <v>698</v>
      </c>
      <c r="K1076" s="880" t="s">
        <v>2264</v>
      </c>
    </row>
    <row r="1077" spans="1:11" s="866" customFormat="1" ht="28.8" x14ac:dyDescent="0.3">
      <c r="A1077" s="869" t="s">
        <v>2025</v>
      </c>
      <c r="B1077" s="881">
        <f>'[1]PLAN DE DESARROLLO 2024 - 2027'!$M$123</f>
        <v>0.20174333228533195</v>
      </c>
      <c r="C1077" s="869" t="s">
        <v>2033</v>
      </c>
      <c r="D1077" s="883">
        <f>'[1]PLAN DE DESARROLLO 2024 - 2027'!$M$153</f>
        <v>0.24618175</v>
      </c>
      <c r="E1077" s="869" t="s">
        <v>1816</v>
      </c>
      <c r="F1077" s="879">
        <f>[2]Hoja1!$B$86</f>
        <v>8.3283750000000004E-2</v>
      </c>
      <c r="G1077" s="869" t="s">
        <v>923</v>
      </c>
      <c r="H1077" s="869" t="s">
        <v>1362</v>
      </c>
      <c r="I1077" s="869"/>
      <c r="J1077" s="869" t="s">
        <v>2043</v>
      </c>
      <c r="K1077" s="880" t="s">
        <v>2264</v>
      </c>
    </row>
    <row r="1078" spans="1:11" s="866" customFormat="1" ht="28.8" x14ac:dyDescent="0.3">
      <c r="A1078" s="869" t="s">
        <v>2025</v>
      </c>
      <c r="B1078" s="881">
        <f>'[1]PLAN DE DESARROLLO 2024 - 2027'!$M$123</f>
        <v>0.20174333228533195</v>
      </c>
      <c r="C1078" s="869" t="s">
        <v>2033</v>
      </c>
      <c r="D1078" s="883">
        <f>'[1]PLAN DE DESARROLLO 2024 - 2027'!$M$153</f>
        <v>0.24618175</v>
      </c>
      <c r="E1078" s="869" t="s">
        <v>1816</v>
      </c>
      <c r="F1078" s="879">
        <f>[2]Hoja1!$B$86</f>
        <v>8.3283750000000004E-2</v>
      </c>
      <c r="G1078" s="869" t="s">
        <v>925</v>
      </c>
      <c r="H1078" s="869" t="s">
        <v>1363</v>
      </c>
      <c r="I1078" s="869"/>
      <c r="J1078" s="869" t="s">
        <v>2044</v>
      </c>
      <c r="K1078" s="880" t="s">
        <v>2264</v>
      </c>
    </row>
    <row r="1079" spans="1:11" s="866" customFormat="1" ht="28.8" x14ac:dyDescent="0.3">
      <c r="A1079" s="869" t="s">
        <v>2025</v>
      </c>
      <c r="B1079" s="881">
        <f>'[1]PLAN DE DESARROLLO 2024 - 2027'!$M$123</f>
        <v>0.20174333228533195</v>
      </c>
      <c r="C1079" s="869" t="s">
        <v>2033</v>
      </c>
      <c r="D1079" s="883">
        <f>'[1]PLAN DE DESARROLLO 2024 - 2027'!$M$153</f>
        <v>0.24618175</v>
      </c>
      <c r="E1079" s="869" t="s">
        <v>2048</v>
      </c>
      <c r="F1079" s="879">
        <f>[2]Hoja1!$B$120</f>
        <v>0.10250000000000001</v>
      </c>
      <c r="G1079" s="869" t="s">
        <v>935</v>
      </c>
      <c r="H1079" s="869" t="s">
        <v>1372</v>
      </c>
      <c r="I1079" s="869"/>
      <c r="J1079" s="869" t="s">
        <v>698</v>
      </c>
      <c r="K1079" s="880" t="s">
        <v>2264</v>
      </c>
    </row>
    <row r="1080" spans="1:11" s="866" customFormat="1" ht="43.2" x14ac:dyDescent="0.3">
      <c r="A1080" s="869" t="s">
        <v>2025</v>
      </c>
      <c r="B1080" s="881">
        <f>'[1]PLAN DE DESARROLLO 2024 - 2027'!$M$123</f>
        <v>0.20174333228533195</v>
      </c>
      <c r="C1080" s="869" t="s">
        <v>2033</v>
      </c>
      <c r="D1080" s="883">
        <f>'[1]PLAN DE DESARROLLO 2024 - 2027'!$M$153</f>
        <v>0.24618175</v>
      </c>
      <c r="E1080" s="869" t="s">
        <v>2048</v>
      </c>
      <c r="F1080" s="879">
        <f>[2]Hoja1!$B$120</f>
        <v>0.10250000000000001</v>
      </c>
      <c r="G1080" s="869" t="s">
        <v>937</v>
      </c>
      <c r="H1080" s="869" t="s">
        <v>1373</v>
      </c>
      <c r="I1080" s="869"/>
      <c r="J1080" s="869" t="s">
        <v>698</v>
      </c>
      <c r="K1080" s="880" t="s">
        <v>2264</v>
      </c>
    </row>
    <row r="1081" spans="1:11" s="866" customFormat="1" ht="43.2" x14ac:dyDescent="0.3">
      <c r="A1081" s="869" t="s">
        <v>2025</v>
      </c>
      <c r="B1081" s="881">
        <f>'[1]PLAN DE DESARROLLO 2024 - 2027'!$M$123</f>
        <v>0.20174333228533195</v>
      </c>
      <c r="C1081" s="869" t="s">
        <v>2033</v>
      </c>
      <c r="D1081" s="883">
        <f>'[1]PLAN DE DESARROLLO 2024 - 2027'!$M$153</f>
        <v>0.24618175</v>
      </c>
      <c r="E1081" s="869" t="s">
        <v>2048</v>
      </c>
      <c r="F1081" s="879">
        <f>[2]Hoja1!$B$120</f>
        <v>0.10250000000000001</v>
      </c>
      <c r="G1081" s="869" t="s">
        <v>938</v>
      </c>
      <c r="H1081" s="869" t="s">
        <v>1374</v>
      </c>
      <c r="I1081" s="869"/>
      <c r="J1081" s="869" t="s">
        <v>698</v>
      </c>
      <c r="K1081" s="880" t="s">
        <v>2264</v>
      </c>
    </row>
    <row r="1082" spans="1:11" s="866" customFormat="1" ht="28.8" x14ac:dyDescent="0.3">
      <c r="A1082" s="869" t="s">
        <v>2025</v>
      </c>
      <c r="B1082" s="881">
        <f>'[1]PLAN DE DESARROLLO 2024 - 2027'!$M$123</f>
        <v>0.20174333228533195</v>
      </c>
      <c r="C1082" s="869" t="s">
        <v>2033</v>
      </c>
      <c r="D1082" s="883">
        <f>'[1]PLAN DE DESARROLLO 2024 - 2027'!$M$153</f>
        <v>0.24618175</v>
      </c>
      <c r="E1082" s="869" t="s">
        <v>2048</v>
      </c>
      <c r="F1082" s="879">
        <f>[2]Hoja1!$B$120</f>
        <v>0.10250000000000001</v>
      </c>
      <c r="G1082" s="869" t="s">
        <v>939</v>
      </c>
      <c r="H1082" s="869" t="s">
        <v>1375</v>
      </c>
      <c r="I1082" s="869"/>
      <c r="J1082" s="869" t="s">
        <v>560</v>
      </c>
      <c r="K1082" s="880" t="s">
        <v>2264</v>
      </c>
    </row>
    <row r="1083" spans="1:11" s="866" customFormat="1" ht="28.8" x14ac:dyDescent="0.3">
      <c r="A1083" s="869" t="s">
        <v>2025</v>
      </c>
      <c r="B1083" s="881">
        <f>'[1]PLAN DE DESARROLLO 2024 - 2027'!$M$123</f>
        <v>0.20174333228533195</v>
      </c>
      <c r="C1083" s="869" t="s">
        <v>2033</v>
      </c>
      <c r="D1083" s="883">
        <f>'[1]PLAN DE DESARROLLO 2024 - 2027'!$M$153</f>
        <v>0.24618175</v>
      </c>
      <c r="E1083" s="869" t="s">
        <v>2048</v>
      </c>
      <c r="F1083" s="879">
        <f>[2]Hoja1!$B$120</f>
        <v>0.10250000000000001</v>
      </c>
      <c r="G1083" s="869" t="s">
        <v>940</v>
      </c>
      <c r="H1083" s="869" t="s">
        <v>1376</v>
      </c>
      <c r="I1083" s="869"/>
      <c r="J1083" s="869" t="s">
        <v>560</v>
      </c>
      <c r="K1083" s="880" t="s">
        <v>2264</v>
      </c>
    </row>
    <row r="1084" spans="1:11" s="866" customFormat="1" x14ac:dyDescent="0.3">
      <c r="A1084" s="869" t="s">
        <v>2025</v>
      </c>
      <c r="B1084" s="881">
        <f>'[1]PLAN DE DESARROLLO 2024 - 2027'!$M$123</f>
        <v>0.20174333228533195</v>
      </c>
      <c r="C1084" s="869" t="s">
        <v>2033</v>
      </c>
      <c r="D1084" s="883">
        <f>'[1]PLAN DE DESARROLLO 2024 - 2027'!$M$153</f>
        <v>0.24618175</v>
      </c>
      <c r="E1084" s="869" t="s">
        <v>2048</v>
      </c>
      <c r="F1084" s="879">
        <f>[2]Hoja1!$B$120</f>
        <v>0.10250000000000001</v>
      </c>
      <c r="G1084" s="869" t="s">
        <v>941</v>
      </c>
      <c r="H1084" s="869" t="s">
        <v>1377</v>
      </c>
      <c r="I1084" s="869"/>
      <c r="J1084" s="869" t="s">
        <v>560</v>
      </c>
      <c r="K1084" s="880" t="s">
        <v>2264</v>
      </c>
    </row>
    <row r="1085" spans="1:11" s="866" customFormat="1" x14ac:dyDescent="0.3">
      <c r="A1085" s="869" t="s">
        <v>2025</v>
      </c>
      <c r="B1085" s="881">
        <f>'[1]PLAN DE DESARROLLO 2024 - 2027'!$M$123</f>
        <v>0.20174333228533195</v>
      </c>
      <c r="C1085" s="869" t="s">
        <v>2033</v>
      </c>
      <c r="D1085" s="883">
        <f>'[1]PLAN DE DESARROLLO 2024 - 2027'!$M$153</f>
        <v>0.24618175</v>
      </c>
      <c r="E1085" s="869" t="s">
        <v>2048</v>
      </c>
      <c r="F1085" s="879">
        <f>[2]Hoja1!$B$120</f>
        <v>0.10250000000000001</v>
      </c>
      <c r="G1085" s="869" t="s">
        <v>942</v>
      </c>
      <c r="H1085" s="869" t="s">
        <v>1378</v>
      </c>
      <c r="I1085" s="869"/>
      <c r="J1085" s="869" t="s">
        <v>560</v>
      </c>
      <c r="K1085" s="880" t="s">
        <v>2264</v>
      </c>
    </row>
    <row r="1086" spans="1:11" s="866" customFormat="1" ht="28.8" x14ac:dyDescent="0.3">
      <c r="A1086" s="869" t="s">
        <v>2025</v>
      </c>
      <c r="B1086" s="881">
        <f>'[1]PLAN DE DESARROLLO 2024 - 2027'!$M$123</f>
        <v>0.20174333228533195</v>
      </c>
      <c r="C1086" s="869" t="s">
        <v>2033</v>
      </c>
      <c r="D1086" s="883">
        <f>'[1]PLAN DE DESARROLLO 2024 - 2027'!$M$153</f>
        <v>0.24618175</v>
      </c>
      <c r="E1086" s="869" t="s">
        <v>2048</v>
      </c>
      <c r="F1086" s="879">
        <f>[2]Hoja1!$B$120</f>
        <v>0.10250000000000001</v>
      </c>
      <c r="G1086" s="869" t="s">
        <v>943</v>
      </c>
      <c r="H1086" s="869" t="s">
        <v>1379</v>
      </c>
      <c r="I1086" s="869"/>
      <c r="J1086" s="869" t="s">
        <v>560</v>
      </c>
      <c r="K1086" s="880" t="s">
        <v>2264</v>
      </c>
    </row>
    <row r="1087" spans="1:11" s="866" customFormat="1" ht="28.8" x14ac:dyDescent="0.3">
      <c r="A1087" s="869" t="s">
        <v>2025</v>
      </c>
      <c r="B1087" s="881">
        <f>'[1]PLAN DE DESARROLLO 2024 - 2027'!$M$123</f>
        <v>0.20174333228533195</v>
      </c>
      <c r="C1087" s="869" t="s">
        <v>2033</v>
      </c>
      <c r="D1087" s="883">
        <f>'[1]PLAN DE DESARROLLO 2024 - 2027'!$M$153</f>
        <v>0.24618175</v>
      </c>
      <c r="E1087" s="869" t="s">
        <v>1817</v>
      </c>
      <c r="F1087" s="879">
        <f>[2]Hoja1!$B$130</f>
        <v>0.79849999999999999</v>
      </c>
      <c r="G1087" s="869" t="s">
        <v>926</v>
      </c>
      <c r="H1087" s="869" t="s">
        <v>1364</v>
      </c>
      <c r="I1087" s="869"/>
      <c r="J1087" s="869" t="s">
        <v>2045</v>
      </c>
      <c r="K1087" s="880" t="s">
        <v>2264</v>
      </c>
    </row>
    <row r="1088" spans="1:11" s="866" customFormat="1" ht="28.8" x14ac:dyDescent="0.3">
      <c r="A1088" s="869" t="s">
        <v>2025</v>
      </c>
      <c r="B1088" s="881">
        <f>'[1]PLAN DE DESARROLLO 2024 - 2027'!$M$123</f>
        <v>0.20174333228533195</v>
      </c>
      <c r="C1088" s="869" t="s">
        <v>2033</v>
      </c>
      <c r="D1088" s="883">
        <f>'[1]PLAN DE DESARROLLO 2024 - 2027'!$M$153</f>
        <v>0.24618175</v>
      </c>
      <c r="E1088" s="869" t="s">
        <v>1817</v>
      </c>
      <c r="F1088" s="879">
        <f>[2]Hoja1!$B$130</f>
        <v>0.79849999999999999</v>
      </c>
      <c r="G1088" s="869" t="s">
        <v>928</v>
      </c>
      <c r="H1088" s="869" t="s">
        <v>1365</v>
      </c>
      <c r="I1088" s="869"/>
      <c r="J1088" s="869" t="s">
        <v>2045</v>
      </c>
      <c r="K1088" s="880" t="s">
        <v>2264</v>
      </c>
    </row>
    <row r="1089" spans="1:11" s="866" customFormat="1" ht="28.8" x14ac:dyDescent="0.3">
      <c r="A1089" s="869" t="s">
        <v>2025</v>
      </c>
      <c r="B1089" s="881">
        <f>'[1]PLAN DE DESARROLLO 2024 - 2027'!$M$123</f>
        <v>0.20174333228533195</v>
      </c>
      <c r="C1089" s="869" t="s">
        <v>2033</v>
      </c>
      <c r="D1089" s="883">
        <f>'[1]PLAN DE DESARROLLO 2024 - 2027'!$M$153</f>
        <v>0.24618175</v>
      </c>
      <c r="E1089" s="869" t="s">
        <v>1817</v>
      </c>
      <c r="F1089" s="879">
        <f>[2]Hoja1!$B$130</f>
        <v>0.79849999999999999</v>
      </c>
      <c r="G1089" s="869" t="s">
        <v>929</v>
      </c>
      <c r="H1089" s="869" t="s">
        <v>1366</v>
      </c>
      <c r="I1089" s="869"/>
      <c r="J1089" s="869" t="s">
        <v>2045</v>
      </c>
      <c r="K1089" s="880" t="s">
        <v>2264</v>
      </c>
    </row>
    <row r="1090" spans="1:11" s="866" customFormat="1" ht="28.8" x14ac:dyDescent="0.3">
      <c r="A1090" s="869" t="s">
        <v>2118</v>
      </c>
      <c r="B1090" s="881">
        <f>'[1]PLAN DE DESARROLLO 2024 - 2027'!$M$161</f>
        <v>0.24647581985093744</v>
      </c>
      <c r="C1090" s="869" t="s">
        <v>2142</v>
      </c>
      <c r="D1090" s="878">
        <f>'[1]PLAN DE DESARROLLO 2024 - 2027'!$M$191</f>
        <v>0.22981556695992181</v>
      </c>
      <c r="E1090" s="869" t="s">
        <v>2146</v>
      </c>
      <c r="F1090" s="879">
        <f>[2]Hoja1!$B$97</f>
        <v>0.29315510752688173</v>
      </c>
      <c r="G1090" s="869" t="s">
        <v>1049</v>
      </c>
      <c r="H1090" s="869" t="s">
        <v>1246</v>
      </c>
      <c r="I1090" s="869"/>
      <c r="J1090" s="869" t="s">
        <v>560</v>
      </c>
      <c r="K1090" s="880" t="s">
        <v>2264</v>
      </c>
    </row>
    <row r="1091" spans="1:11" s="866" customFormat="1" ht="28.8" x14ac:dyDescent="0.3">
      <c r="A1091" s="869" t="s">
        <v>2118</v>
      </c>
      <c r="B1091" s="881">
        <f>'[1]PLAN DE DESARROLLO 2024 - 2027'!$M$161</f>
        <v>0.24647581985093744</v>
      </c>
      <c r="C1091" s="869" t="s">
        <v>2142</v>
      </c>
      <c r="D1091" s="878">
        <f>'[1]PLAN DE DESARROLLO 2024 - 2027'!$M$191</f>
        <v>0.22981556695992181</v>
      </c>
      <c r="E1091" s="869" t="s">
        <v>2146</v>
      </c>
      <c r="F1091" s="879">
        <f>[2]Hoja1!$B$97</f>
        <v>0.29315510752688173</v>
      </c>
      <c r="G1091" s="869" t="s">
        <v>1050</v>
      </c>
      <c r="H1091" s="869" t="s">
        <v>1247</v>
      </c>
      <c r="I1091" s="869"/>
      <c r="J1091" s="869" t="s">
        <v>560</v>
      </c>
      <c r="K1091" s="880" t="s">
        <v>2264</v>
      </c>
    </row>
    <row r="1092" spans="1:11" s="866" customFormat="1" ht="28.8" x14ac:dyDescent="0.3">
      <c r="A1092" s="869" t="s">
        <v>2118</v>
      </c>
      <c r="B1092" s="881">
        <f>'[1]PLAN DE DESARROLLO 2024 - 2027'!$M$161</f>
        <v>0.24647581985093744</v>
      </c>
      <c r="C1092" s="869" t="s">
        <v>2142</v>
      </c>
      <c r="D1092" s="878">
        <f>'[1]PLAN DE DESARROLLO 2024 - 2027'!$M$191</f>
        <v>0.22981556695992181</v>
      </c>
      <c r="E1092" s="869" t="s">
        <v>2146</v>
      </c>
      <c r="F1092" s="879">
        <f>[2]Hoja1!$B$97</f>
        <v>0.29315510752688173</v>
      </c>
      <c r="G1092" s="869" t="s">
        <v>1051</v>
      </c>
      <c r="H1092" s="869" t="s">
        <v>1248</v>
      </c>
      <c r="I1092" s="869"/>
      <c r="J1092" s="869" t="s">
        <v>560</v>
      </c>
      <c r="K1092" s="880" t="s">
        <v>2264</v>
      </c>
    </row>
    <row r="1093" spans="1:11" s="866" customFormat="1" ht="28.8" x14ac:dyDescent="0.3">
      <c r="A1093" s="869" t="s">
        <v>2118</v>
      </c>
      <c r="B1093" s="881">
        <f>'[1]PLAN DE DESARROLLO 2024 - 2027'!$M$161</f>
        <v>0.24647581985093744</v>
      </c>
      <c r="C1093" s="869" t="s">
        <v>2142</v>
      </c>
      <c r="D1093" s="878">
        <f>'[1]PLAN DE DESARROLLO 2024 - 2027'!$M$191</f>
        <v>0.22981556695992181</v>
      </c>
      <c r="E1093" s="869" t="s">
        <v>2146</v>
      </c>
      <c r="F1093" s="879">
        <f>[2]Hoja1!$B$97</f>
        <v>0.29315510752688173</v>
      </c>
      <c r="G1093" s="869" t="s">
        <v>1052</v>
      </c>
      <c r="H1093" s="869" t="s">
        <v>1249</v>
      </c>
      <c r="I1093" s="869"/>
      <c r="J1093" s="869" t="s">
        <v>560</v>
      </c>
      <c r="K1093" s="880" t="s">
        <v>2264</v>
      </c>
    </row>
    <row r="1094" spans="1:11" s="866" customFormat="1" ht="28.8" x14ac:dyDescent="0.3">
      <c r="A1094" s="869" t="s">
        <v>2118</v>
      </c>
      <c r="B1094" s="881">
        <f>'[1]PLAN DE DESARROLLO 2024 - 2027'!$M$161</f>
        <v>0.24647581985093744</v>
      </c>
      <c r="C1094" s="869" t="s">
        <v>2142</v>
      </c>
      <c r="D1094" s="878">
        <f>'[1]PLAN DE DESARROLLO 2024 - 2027'!$M$191</f>
        <v>0.22981556695992181</v>
      </c>
      <c r="E1094" s="869" t="s">
        <v>2146</v>
      </c>
      <c r="F1094" s="879">
        <f>[2]Hoja1!$B$97</f>
        <v>0.29315510752688173</v>
      </c>
      <c r="G1094" s="869" t="s">
        <v>1053</v>
      </c>
      <c r="H1094" s="869" t="s">
        <v>1250</v>
      </c>
      <c r="I1094" s="869"/>
      <c r="J1094" s="869" t="s">
        <v>560</v>
      </c>
      <c r="K1094" s="880" t="s">
        <v>2264</v>
      </c>
    </row>
    <row r="1095" spans="1:11" s="866" customFormat="1" ht="28.8" x14ac:dyDescent="0.3">
      <c r="A1095" s="869" t="s">
        <v>2118</v>
      </c>
      <c r="B1095" s="881">
        <f>'[1]PLAN DE DESARROLLO 2024 - 2027'!$M$161</f>
        <v>0.24647581985093744</v>
      </c>
      <c r="C1095" s="869" t="s">
        <v>2142</v>
      </c>
      <c r="D1095" s="878">
        <f>'[1]PLAN DE DESARROLLO 2024 - 2027'!$M$191</f>
        <v>0.22981556695992181</v>
      </c>
      <c r="E1095" s="869" t="s">
        <v>2146</v>
      </c>
      <c r="F1095" s="879">
        <f>[2]Hoja1!$B$97</f>
        <v>0.29315510752688173</v>
      </c>
      <c r="G1095" s="869" t="s">
        <v>1054</v>
      </c>
      <c r="H1095" s="869" t="s">
        <v>1251</v>
      </c>
      <c r="I1095" s="869"/>
      <c r="J1095" s="869" t="s">
        <v>560</v>
      </c>
      <c r="K1095" s="880" t="s">
        <v>2264</v>
      </c>
    </row>
    <row r="1096" spans="1:11" s="866" customFormat="1" ht="28.8" x14ac:dyDescent="0.3">
      <c r="A1096" s="869" t="s">
        <v>2118</v>
      </c>
      <c r="B1096" s="881">
        <f>'[1]PLAN DE DESARROLLO 2024 - 2027'!$M$161</f>
        <v>0.24647581985093744</v>
      </c>
      <c r="C1096" s="869" t="s">
        <v>2142</v>
      </c>
      <c r="D1096" s="878">
        <f>'[1]PLAN DE DESARROLLO 2024 - 2027'!$M$191</f>
        <v>0.22981556695992181</v>
      </c>
      <c r="E1096" s="869" t="s">
        <v>2146</v>
      </c>
      <c r="F1096" s="879">
        <f>[2]Hoja1!$B$97</f>
        <v>0.29315510752688173</v>
      </c>
      <c r="G1096" s="869" t="s">
        <v>1055</v>
      </c>
      <c r="H1096" s="869" t="s">
        <v>1252</v>
      </c>
      <c r="I1096" s="869"/>
      <c r="J1096" s="869" t="s">
        <v>560</v>
      </c>
      <c r="K1096" s="880" t="s">
        <v>2264</v>
      </c>
    </row>
    <row r="1097" spans="1:11" s="866" customFormat="1" ht="28.8" x14ac:dyDescent="0.3">
      <c r="A1097" s="869" t="s">
        <v>2025</v>
      </c>
      <c r="B1097" s="881">
        <f>'[1]PLAN DE DESARROLLO 2024 - 2027'!$M$123</f>
        <v>0.20174333228533195</v>
      </c>
      <c r="C1097" s="869" t="s">
        <v>2033</v>
      </c>
      <c r="D1097" s="883">
        <f>'[1]PLAN DE DESARROLLO 2024 - 2027'!$M$153</f>
        <v>0.24618175</v>
      </c>
      <c r="E1097" s="869" t="s">
        <v>2046</v>
      </c>
      <c r="F1097" s="879">
        <f>[2]Hoja1!$B$131</f>
        <v>0.31600000000000006</v>
      </c>
      <c r="G1097" s="869" t="s">
        <v>930</v>
      </c>
      <c r="H1097" s="869" t="s">
        <v>1367</v>
      </c>
      <c r="I1097" s="869"/>
      <c r="J1097" s="869" t="s">
        <v>2047</v>
      </c>
      <c r="K1097" s="880" t="s">
        <v>2264</v>
      </c>
    </row>
    <row r="1098" spans="1:11" s="866" customFormat="1" ht="28.8" x14ac:dyDescent="0.3">
      <c r="A1098" s="869" t="s">
        <v>2025</v>
      </c>
      <c r="B1098" s="881">
        <f>'[1]PLAN DE DESARROLLO 2024 - 2027'!$M$123</f>
        <v>0.20174333228533195</v>
      </c>
      <c r="C1098" s="869" t="s">
        <v>2033</v>
      </c>
      <c r="D1098" s="883">
        <f>'[1]PLAN DE DESARROLLO 2024 - 2027'!$M$153</f>
        <v>0.24618175</v>
      </c>
      <c r="E1098" s="869" t="s">
        <v>2046</v>
      </c>
      <c r="F1098" s="879">
        <f>[2]Hoja1!$B$131</f>
        <v>0.31600000000000006</v>
      </c>
      <c r="G1098" s="869" t="s">
        <v>931</v>
      </c>
      <c r="H1098" s="869" t="s">
        <v>1368</v>
      </c>
      <c r="I1098" s="869"/>
      <c r="J1098" s="869" t="s">
        <v>698</v>
      </c>
      <c r="K1098" s="880" t="s">
        <v>2264</v>
      </c>
    </row>
    <row r="1099" spans="1:11" s="866" customFormat="1" ht="28.8" x14ac:dyDescent="0.3">
      <c r="A1099" s="869" t="s">
        <v>2025</v>
      </c>
      <c r="B1099" s="881">
        <f>'[1]PLAN DE DESARROLLO 2024 - 2027'!$M$123</f>
        <v>0.20174333228533195</v>
      </c>
      <c r="C1099" s="869" t="s">
        <v>2033</v>
      </c>
      <c r="D1099" s="883">
        <f>'[1]PLAN DE DESARROLLO 2024 - 2027'!$M$153</f>
        <v>0.24618175</v>
      </c>
      <c r="E1099" s="869" t="s">
        <v>2046</v>
      </c>
      <c r="F1099" s="879">
        <f>[2]Hoja1!$B$131</f>
        <v>0.31600000000000006</v>
      </c>
      <c r="G1099" s="869" t="s">
        <v>932</v>
      </c>
      <c r="H1099" s="869" t="s">
        <v>1369</v>
      </c>
      <c r="I1099" s="869"/>
      <c r="J1099" s="869" t="s">
        <v>698</v>
      </c>
      <c r="K1099" s="880" t="s">
        <v>2264</v>
      </c>
    </row>
    <row r="1100" spans="1:11" s="866" customFormat="1" ht="28.8" x14ac:dyDescent="0.3">
      <c r="A1100" s="869" t="s">
        <v>2205</v>
      </c>
      <c r="B1100" s="877">
        <f>'[1]PLAN DE DESARROLLO 2024 - 2027'!$M$46</f>
        <v>0.25251661967012345</v>
      </c>
      <c r="C1100" s="869" t="s">
        <v>2206</v>
      </c>
      <c r="D1100" s="878">
        <f>'[1]PLAN DE DESARROLLO 2024 - 2027'!$M$47</f>
        <v>0.26592582694462413</v>
      </c>
      <c r="E1100" s="869" t="s">
        <v>1654</v>
      </c>
      <c r="F1100" s="879">
        <f>[2]Hoja1!$B$67</f>
        <v>0.60631944444444441</v>
      </c>
      <c r="G1100" s="869" t="s">
        <v>493</v>
      </c>
      <c r="H1100" s="869" t="s">
        <v>494</v>
      </c>
      <c r="I1100" s="869"/>
      <c r="J1100" s="869" t="s">
        <v>490</v>
      </c>
      <c r="K1100" s="880" t="s">
        <v>2264</v>
      </c>
    </row>
    <row r="1101" spans="1:11" s="866" customFormat="1" ht="28.8" x14ac:dyDescent="0.3">
      <c r="A1101" s="869" t="s">
        <v>2205</v>
      </c>
      <c r="B1101" s="877">
        <f>'[1]PLAN DE DESARROLLO 2024 - 2027'!$M$46</f>
        <v>0.25251661967012345</v>
      </c>
      <c r="C1101" s="869" t="s">
        <v>2206</v>
      </c>
      <c r="D1101" s="878">
        <f>'[1]PLAN DE DESARROLLO 2024 - 2027'!$M$47</f>
        <v>0.26592582694462413</v>
      </c>
      <c r="E1101" s="869" t="s">
        <v>1654</v>
      </c>
      <c r="F1101" s="879">
        <f>[2]Hoja1!$B$67</f>
        <v>0.60631944444444441</v>
      </c>
      <c r="G1101" s="869" t="s">
        <v>495</v>
      </c>
      <c r="H1101" s="869" t="s">
        <v>496</v>
      </c>
      <c r="I1101" s="869"/>
      <c r="J1101" s="869" t="s">
        <v>490</v>
      </c>
      <c r="K1101" s="880" t="s">
        <v>2264</v>
      </c>
    </row>
    <row r="1102" spans="1:11" s="866" customFormat="1" x14ac:dyDescent="0.3">
      <c r="A1102" s="869" t="s">
        <v>2205</v>
      </c>
      <c r="B1102" s="877">
        <f>'[1]PLAN DE DESARROLLO 2024 - 2027'!$M$46</f>
        <v>0.25251661967012345</v>
      </c>
      <c r="C1102" s="869" t="s">
        <v>2206</v>
      </c>
      <c r="D1102" s="878">
        <f>'[1]PLAN DE DESARROLLO 2024 - 2027'!$M$47</f>
        <v>0.26592582694462413</v>
      </c>
      <c r="E1102" s="869" t="s">
        <v>1654</v>
      </c>
      <c r="F1102" s="879">
        <f>[2]Hoja1!$B$67</f>
        <v>0.60631944444444441</v>
      </c>
      <c r="G1102" s="869" t="s">
        <v>497</v>
      </c>
      <c r="H1102" s="869" t="s">
        <v>498</v>
      </c>
      <c r="I1102" s="869"/>
      <c r="J1102" s="869" t="s">
        <v>490</v>
      </c>
      <c r="K1102" s="880" t="s">
        <v>2264</v>
      </c>
    </row>
    <row r="1103" spans="1:11" s="866" customFormat="1" ht="28.8" x14ac:dyDescent="0.3">
      <c r="A1103" s="869" t="s">
        <v>2205</v>
      </c>
      <c r="B1103" s="877">
        <f>'[1]PLAN DE DESARROLLO 2024 - 2027'!$M$46</f>
        <v>0.25251661967012345</v>
      </c>
      <c r="C1103" s="869" t="s">
        <v>2206</v>
      </c>
      <c r="D1103" s="878">
        <f>'[1]PLAN DE DESARROLLO 2024 - 2027'!$M$47</f>
        <v>0.26592582694462413</v>
      </c>
      <c r="E1103" s="869" t="s">
        <v>2223</v>
      </c>
      <c r="F1103" s="879">
        <f>[2]Hoja1!$B$68</f>
        <v>0.3801401869158878</v>
      </c>
      <c r="G1103" s="869" t="s">
        <v>432</v>
      </c>
      <c r="H1103" s="869" t="s">
        <v>433</v>
      </c>
      <c r="I1103" s="869"/>
      <c r="J1103" s="869" t="s">
        <v>2207</v>
      </c>
      <c r="K1103" s="880" t="s">
        <v>2264</v>
      </c>
    </row>
    <row r="1104" spans="1:11" s="866" customFormat="1" ht="28.8" x14ac:dyDescent="0.3">
      <c r="A1104" s="869" t="s">
        <v>2205</v>
      </c>
      <c r="B1104" s="877">
        <f>'[1]PLAN DE DESARROLLO 2024 - 2027'!$M$46</f>
        <v>0.25251661967012345</v>
      </c>
      <c r="C1104" s="869" t="s">
        <v>2206</v>
      </c>
      <c r="D1104" s="878">
        <f>'[1]PLAN DE DESARROLLO 2024 - 2027'!$M$47</f>
        <v>0.26592582694462413</v>
      </c>
      <c r="E1104" s="869" t="s">
        <v>2223</v>
      </c>
      <c r="F1104" s="879">
        <f>[2]Hoja1!$B$68</f>
        <v>0.3801401869158878</v>
      </c>
      <c r="G1104" s="869" t="s">
        <v>434</v>
      </c>
      <c r="H1104" s="869" t="s">
        <v>435</v>
      </c>
      <c r="I1104" s="869"/>
      <c r="J1104" s="869" t="s">
        <v>2207</v>
      </c>
      <c r="K1104" s="880" t="s">
        <v>2264</v>
      </c>
    </row>
    <row r="1105" spans="1:11" s="866" customFormat="1" ht="28.8" x14ac:dyDescent="0.3">
      <c r="A1105" s="869" t="s">
        <v>2205</v>
      </c>
      <c r="B1105" s="877">
        <f>'[1]PLAN DE DESARROLLO 2024 - 2027'!$M$46</f>
        <v>0.25251661967012345</v>
      </c>
      <c r="C1105" s="869" t="s">
        <v>2206</v>
      </c>
      <c r="D1105" s="878">
        <f>'[1]PLAN DE DESARROLLO 2024 - 2027'!$M$47</f>
        <v>0.26592582694462413</v>
      </c>
      <c r="E1105" s="869" t="s">
        <v>2223</v>
      </c>
      <c r="F1105" s="879">
        <f>[2]Hoja1!$B$68</f>
        <v>0.3801401869158878</v>
      </c>
      <c r="G1105" s="869" t="s">
        <v>436</v>
      </c>
      <c r="H1105" s="869" t="s">
        <v>437</v>
      </c>
      <c r="I1105" s="869"/>
      <c r="J1105" s="869" t="s">
        <v>2207</v>
      </c>
      <c r="K1105" s="880" t="s">
        <v>2264</v>
      </c>
    </row>
    <row r="1106" spans="1:11" s="866" customFormat="1" ht="43.2" x14ac:dyDescent="0.3">
      <c r="A1106" s="869" t="s">
        <v>2205</v>
      </c>
      <c r="B1106" s="877">
        <f>'[1]PLAN DE DESARROLLO 2024 - 2027'!$M$46</f>
        <v>0.25251661967012345</v>
      </c>
      <c r="C1106" s="869" t="s">
        <v>2206</v>
      </c>
      <c r="D1106" s="878">
        <f>'[1]PLAN DE DESARROLLO 2024 - 2027'!$M$47</f>
        <v>0.26592582694462413</v>
      </c>
      <c r="E1106" s="869" t="s">
        <v>2224</v>
      </c>
      <c r="F1106" s="879">
        <f>[2]Hoja1!$B$71</f>
        <v>0.19542056074766356</v>
      </c>
      <c r="G1106" s="869" t="s">
        <v>438</v>
      </c>
      <c r="H1106" s="869" t="s">
        <v>439</v>
      </c>
      <c r="I1106" s="869"/>
      <c r="J1106" s="869" t="s">
        <v>2207</v>
      </c>
      <c r="K1106" s="880" t="s">
        <v>2264</v>
      </c>
    </row>
    <row r="1107" spans="1:11" s="866" customFormat="1" ht="28.8" x14ac:dyDescent="0.3">
      <c r="A1107" s="869" t="s">
        <v>2025</v>
      </c>
      <c r="B1107" s="881">
        <f>'[1]PLAN DE DESARROLLO 2024 - 2027'!$M$123</f>
        <v>0.20174333228533195</v>
      </c>
      <c r="C1107" s="869" t="s">
        <v>2033</v>
      </c>
      <c r="D1107" s="883">
        <f>'[1]PLAN DE DESARROLLO 2024 - 2027'!$M$153</f>
        <v>0.24618175</v>
      </c>
      <c r="E1107" s="869" t="s">
        <v>2046</v>
      </c>
      <c r="F1107" s="879">
        <f>[2]Hoja1!$B$131</f>
        <v>0.31600000000000006</v>
      </c>
      <c r="G1107" s="869" t="s">
        <v>933</v>
      </c>
      <c r="H1107" s="869" t="s">
        <v>1370</v>
      </c>
      <c r="I1107" s="869"/>
      <c r="J1107" s="869" t="s">
        <v>560</v>
      </c>
      <c r="K1107" s="880" t="s">
        <v>2264</v>
      </c>
    </row>
    <row r="1108" spans="1:11" s="866" customFormat="1" ht="28.8" x14ac:dyDescent="0.3">
      <c r="A1108" s="869" t="s">
        <v>2025</v>
      </c>
      <c r="B1108" s="881">
        <f>'[1]PLAN DE DESARROLLO 2024 - 2027'!$M$123</f>
        <v>0.20174333228533195</v>
      </c>
      <c r="C1108" s="869" t="s">
        <v>2033</v>
      </c>
      <c r="D1108" s="883">
        <f>'[1]PLAN DE DESARROLLO 2024 - 2027'!$M$153</f>
        <v>0.24618175</v>
      </c>
      <c r="E1108" s="869" t="s">
        <v>2046</v>
      </c>
      <c r="F1108" s="879">
        <f>[2]Hoja1!$B$131</f>
        <v>0.31600000000000006</v>
      </c>
      <c r="G1108" s="869" t="s">
        <v>934</v>
      </c>
      <c r="H1108" s="869" t="s">
        <v>1371</v>
      </c>
      <c r="I1108" s="869"/>
      <c r="J1108" s="869" t="s">
        <v>2044</v>
      </c>
      <c r="K1108" s="880" t="s">
        <v>2264</v>
      </c>
    </row>
    <row r="1109" spans="1:11" s="866" customFormat="1" ht="21.75" customHeight="1" x14ac:dyDescent="0.3">
      <c r="A1109" s="869" t="s">
        <v>2025</v>
      </c>
      <c r="B1109" s="881">
        <f>'[1]PLAN DE DESARROLLO 2024 - 2027'!$M$123</f>
        <v>0.20174333228533195</v>
      </c>
      <c r="C1109" s="869" t="s">
        <v>2026</v>
      </c>
      <c r="D1109" s="883">
        <f>'[1]PLAN DE DESARROLLO 2024 - 2027'!$M$143</f>
        <v>9.5123946428571443E-2</v>
      </c>
      <c r="E1109" s="869" t="s">
        <v>2027</v>
      </c>
      <c r="F1109" s="879">
        <f>[2]Hoja1!$B$39</f>
        <v>0.01</v>
      </c>
      <c r="G1109" s="869" t="s">
        <v>878</v>
      </c>
      <c r="H1109" s="869" t="s">
        <v>1326</v>
      </c>
      <c r="I1109" s="869"/>
      <c r="J1109" s="869" t="s">
        <v>2028</v>
      </c>
      <c r="K1109" s="880" t="s">
        <v>2264</v>
      </c>
    </row>
    <row r="1110" spans="1:11" s="866" customFormat="1" ht="28.8" x14ac:dyDescent="0.3">
      <c r="A1110" s="869" t="s">
        <v>2205</v>
      </c>
      <c r="B1110" s="877">
        <f>'[1]PLAN DE DESARROLLO 2024 - 2027'!$M$46</f>
        <v>0.25251661967012345</v>
      </c>
      <c r="C1110" s="869" t="s">
        <v>2206</v>
      </c>
      <c r="D1110" s="878">
        <f>'[1]PLAN DE DESARROLLO 2024 - 2027'!$M$47</f>
        <v>0.26592582694462413</v>
      </c>
      <c r="E1110" s="869" t="s">
        <v>2224</v>
      </c>
      <c r="F1110" s="879">
        <f>[2]Hoja1!$B$71</f>
        <v>0.19542056074766356</v>
      </c>
      <c r="G1110" s="869" t="s">
        <v>440</v>
      </c>
      <c r="H1110" s="869" t="s">
        <v>441</v>
      </c>
      <c r="I1110" s="869"/>
      <c r="J1110" s="869" t="s">
        <v>2207</v>
      </c>
      <c r="K1110" s="880" t="s">
        <v>2264</v>
      </c>
    </row>
    <row r="1111" spans="1:11" s="866" customFormat="1" ht="43.2" x14ac:dyDescent="0.3">
      <c r="A1111" s="869" t="s">
        <v>2205</v>
      </c>
      <c r="B1111" s="877">
        <f>'[1]PLAN DE DESARROLLO 2024 - 2027'!$M$46</f>
        <v>0.25251661967012345</v>
      </c>
      <c r="C1111" s="869" t="s">
        <v>2206</v>
      </c>
      <c r="D1111" s="878">
        <f>'[1]PLAN DE DESARROLLO 2024 - 2027'!$M$47</f>
        <v>0.26592582694462413</v>
      </c>
      <c r="E1111" s="869" t="s">
        <v>2224</v>
      </c>
      <c r="F1111" s="879">
        <f>[2]Hoja1!$B$71</f>
        <v>0.19542056074766356</v>
      </c>
      <c r="G1111" s="869" t="s">
        <v>2225</v>
      </c>
      <c r="H1111" s="869" t="s">
        <v>2226</v>
      </c>
      <c r="I1111" s="869"/>
      <c r="J1111" s="869" t="s">
        <v>2207</v>
      </c>
      <c r="K1111" s="880" t="s">
        <v>2264</v>
      </c>
    </row>
    <row r="1112" spans="1:11" s="866" customFormat="1" ht="43.2" x14ac:dyDescent="0.3">
      <c r="A1112" s="869" t="s">
        <v>2205</v>
      </c>
      <c r="B1112" s="877">
        <f>'[1]PLAN DE DESARROLLO 2024 - 2027'!$M$46</f>
        <v>0.25251661967012345</v>
      </c>
      <c r="C1112" s="869" t="s">
        <v>2206</v>
      </c>
      <c r="D1112" s="878">
        <f>'[1]PLAN DE DESARROLLO 2024 - 2027'!$M$47</f>
        <v>0.26592582694462413</v>
      </c>
      <c r="E1112" s="869" t="s">
        <v>2222</v>
      </c>
      <c r="F1112" s="879">
        <f>[2]Hoja1!$B$100</f>
        <v>0.22135057471264369</v>
      </c>
      <c r="G1112" s="869" t="s">
        <v>418</v>
      </c>
      <c r="H1112" s="869" t="s">
        <v>419</v>
      </c>
      <c r="I1112" s="869"/>
      <c r="J1112" s="869" t="s">
        <v>2207</v>
      </c>
      <c r="K1112" s="880" t="s">
        <v>2264</v>
      </c>
    </row>
    <row r="1113" spans="1:11" s="866" customFormat="1" ht="28.8" x14ac:dyDescent="0.3">
      <c r="A1113" s="869" t="s">
        <v>2205</v>
      </c>
      <c r="B1113" s="877">
        <f>'[1]PLAN DE DESARROLLO 2024 - 2027'!$M$46</f>
        <v>0.25251661967012345</v>
      </c>
      <c r="C1113" s="869" t="s">
        <v>2206</v>
      </c>
      <c r="D1113" s="878">
        <f>'[1]PLAN DE DESARROLLO 2024 - 2027'!$M$47</f>
        <v>0.26592582694462413</v>
      </c>
      <c r="E1113" s="869" t="s">
        <v>2222</v>
      </c>
      <c r="F1113" s="879">
        <f>[2]Hoja1!$B$100</f>
        <v>0.22135057471264369</v>
      </c>
      <c r="G1113" s="869" t="s">
        <v>420</v>
      </c>
      <c r="H1113" s="869" t="s">
        <v>421</v>
      </c>
      <c r="I1113" s="869"/>
      <c r="J1113" s="869" t="s">
        <v>2207</v>
      </c>
      <c r="K1113" s="880" t="s">
        <v>2264</v>
      </c>
    </row>
    <row r="1114" spans="1:11" s="866" customFormat="1" ht="28.8" x14ac:dyDescent="0.3">
      <c r="A1114" s="869" t="s">
        <v>2205</v>
      </c>
      <c r="B1114" s="877">
        <f>'[1]PLAN DE DESARROLLO 2024 - 2027'!$M$46</f>
        <v>0.25251661967012345</v>
      </c>
      <c r="C1114" s="869" t="s">
        <v>2206</v>
      </c>
      <c r="D1114" s="878">
        <f>'[1]PLAN DE DESARROLLO 2024 - 2027'!$M$47</f>
        <v>0.26592582694462413</v>
      </c>
      <c r="E1114" s="869" t="s">
        <v>2222</v>
      </c>
      <c r="F1114" s="879">
        <f>[2]Hoja1!$B$100</f>
        <v>0.22135057471264369</v>
      </c>
      <c r="G1114" s="869" t="s">
        <v>422</v>
      </c>
      <c r="H1114" s="869" t="s">
        <v>423</v>
      </c>
      <c r="I1114" s="869"/>
      <c r="J1114" s="869" t="s">
        <v>2207</v>
      </c>
      <c r="K1114" s="880" t="s">
        <v>2264</v>
      </c>
    </row>
    <row r="1115" spans="1:11" s="866" customFormat="1" ht="28.8" x14ac:dyDescent="0.3">
      <c r="A1115" s="869" t="s">
        <v>2118</v>
      </c>
      <c r="B1115" s="881">
        <f>'[1]PLAN DE DESARROLLO 2024 - 2027'!$M$161</f>
        <v>0.24647581985093744</v>
      </c>
      <c r="C1115" s="869" t="s">
        <v>2120</v>
      </c>
      <c r="D1115" s="878">
        <f>'[1]PLAN DE DESARROLLO 2024 - 2027'!$M$166</f>
        <v>0.23451309458253802</v>
      </c>
      <c r="E1115" s="869" t="s">
        <v>1824</v>
      </c>
      <c r="F1115" s="879">
        <f>[2]Hoja1!$B$103</f>
        <v>0.25</v>
      </c>
      <c r="G1115" s="869" t="s">
        <v>972</v>
      </c>
      <c r="H1115" s="869" t="s">
        <v>1174</v>
      </c>
      <c r="I1115" s="869"/>
      <c r="J1115" s="869" t="s">
        <v>516</v>
      </c>
      <c r="K1115" s="880" t="s">
        <v>2264</v>
      </c>
    </row>
    <row r="1116" spans="1:11" s="866" customFormat="1" ht="28.8" x14ac:dyDescent="0.3">
      <c r="A1116" s="869" t="s">
        <v>2118</v>
      </c>
      <c r="B1116" s="881">
        <f>'[1]PLAN DE DESARROLLO 2024 - 2027'!$M$161</f>
        <v>0.24647581985093744</v>
      </c>
      <c r="C1116" s="869" t="s">
        <v>2120</v>
      </c>
      <c r="D1116" s="878">
        <f>'[1]PLAN DE DESARROLLO 2024 - 2027'!$M$166</f>
        <v>0.23451309458253802</v>
      </c>
      <c r="E1116" s="869" t="s">
        <v>1824</v>
      </c>
      <c r="F1116" s="879">
        <f>[2]Hoja1!$B$103</f>
        <v>0.25</v>
      </c>
      <c r="G1116" s="869" t="s">
        <v>973</v>
      </c>
      <c r="H1116" s="869" t="s">
        <v>1175</v>
      </c>
      <c r="I1116" s="869"/>
      <c r="J1116" s="869" t="s">
        <v>516</v>
      </c>
      <c r="K1116" s="880" t="s">
        <v>2264</v>
      </c>
    </row>
    <row r="1117" spans="1:11" s="866" customFormat="1" x14ac:dyDescent="0.3">
      <c r="A1117" s="869" t="s">
        <v>2205</v>
      </c>
      <c r="B1117" s="877">
        <f>'[1]PLAN DE DESARROLLO 2024 - 2027'!$M$46</f>
        <v>0.25251661967012345</v>
      </c>
      <c r="C1117" s="869" t="s">
        <v>2206</v>
      </c>
      <c r="D1117" s="878">
        <f>'[1]PLAN DE DESARROLLO 2024 - 2027'!$M$47</f>
        <v>0.26592582694462413</v>
      </c>
      <c r="E1117" s="869" t="s">
        <v>2222</v>
      </c>
      <c r="F1117" s="879">
        <f>[2]Hoja1!$B$100</f>
        <v>0.22135057471264369</v>
      </c>
      <c r="G1117" s="869" t="s">
        <v>424</v>
      </c>
      <c r="H1117" s="869" t="s">
        <v>425</v>
      </c>
      <c r="I1117" s="869"/>
      <c r="J1117" s="869" t="s">
        <v>2207</v>
      </c>
      <c r="K1117" s="880" t="s">
        <v>2264</v>
      </c>
    </row>
    <row r="1118" spans="1:11" s="866" customFormat="1" ht="28.8" x14ac:dyDescent="0.3">
      <c r="A1118" s="869" t="s">
        <v>2205</v>
      </c>
      <c r="B1118" s="877">
        <f>'[1]PLAN DE DESARROLLO 2024 - 2027'!$M$46</f>
        <v>0.25251661967012345</v>
      </c>
      <c r="C1118" s="869" t="s">
        <v>2206</v>
      </c>
      <c r="D1118" s="878">
        <f>'[1]PLAN DE DESARROLLO 2024 - 2027'!$M$47</f>
        <v>0.26592582694462413</v>
      </c>
      <c r="E1118" s="869" t="s">
        <v>2222</v>
      </c>
      <c r="F1118" s="879">
        <f>[2]Hoja1!$B$100</f>
        <v>0.22135057471264369</v>
      </c>
      <c r="G1118" s="869" t="s">
        <v>426</v>
      </c>
      <c r="H1118" s="869" t="s">
        <v>427</v>
      </c>
      <c r="I1118" s="869"/>
      <c r="J1118" s="869" t="s">
        <v>2207</v>
      </c>
      <c r="K1118" s="880" t="s">
        <v>2264</v>
      </c>
    </row>
    <row r="1119" spans="1:11" s="866" customFormat="1" ht="28.8" x14ac:dyDescent="0.3">
      <c r="A1119" s="869" t="s">
        <v>2205</v>
      </c>
      <c r="B1119" s="877">
        <f>'[1]PLAN DE DESARROLLO 2024 - 2027'!$M$46</f>
        <v>0.25251661967012345</v>
      </c>
      <c r="C1119" s="869" t="s">
        <v>2206</v>
      </c>
      <c r="D1119" s="878">
        <f>'[1]PLAN DE DESARROLLO 2024 - 2027'!$M$47</f>
        <v>0.26592582694462413</v>
      </c>
      <c r="E1119" s="869" t="s">
        <v>1642</v>
      </c>
      <c r="F1119" s="879">
        <f>[2]Hoja1!$B$102</f>
        <v>0.30189198330677819</v>
      </c>
      <c r="G1119" s="869" t="s">
        <v>372</v>
      </c>
      <c r="H1119" s="869" t="s">
        <v>373</v>
      </c>
      <c r="I1119" s="869"/>
      <c r="J1119" s="869" t="s">
        <v>2207</v>
      </c>
      <c r="K1119" s="880" t="s">
        <v>2264</v>
      </c>
    </row>
    <row r="1120" spans="1:11" s="866" customFormat="1" ht="43.2" x14ac:dyDescent="0.3">
      <c r="A1120" s="869" t="s">
        <v>2205</v>
      </c>
      <c r="B1120" s="877">
        <f>'[1]PLAN DE DESARROLLO 2024 - 2027'!$M$46</f>
        <v>0.25251661967012345</v>
      </c>
      <c r="C1120" s="869" t="s">
        <v>2206</v>
      </c>
      <c r="D1120" s="878">
        <f>'[1]PLAN DE DESARROLLO 2024 - 2027'!$M$47</f>
        <v>0.26592582694462413</v>
      </c>
      <c r="E1120" s="869" t="s">
        <v>1642</v>
      </c>
      <c r="F1120" s="879">
        <f>[2]Hoja1!$B$102</f>
        <v>0.30189198330677819</v>
      </c>
      <c r="G1120" s="869" t="s">
        <v>374</v>
      </c>
      <c r="H1120" s="869" t="s">
        <v>375</v>
      </c>
      <c r="I1120" s="869"/>
      <c r="J1120" s="869" t="s">
        <v>2207</v>
      </c>
      <c r="K1120" s="880" t="s">
        <v>2264</v>
      </c>
    </row>
    <row r="1121" spans="1:11" s="866" customFormat="1" ht="28.8" x14ac:dyDescent="0.3">
      <c r="A1121" s="869" t="s">
        <v>2205</v>
      </c>
      <c r="B1121" s="877">
        <f>'[1]PLAN DE DESARROLLO 2024 - 2027'!$M$46</f>
        <v>0.25251661967012345</v>
      </c>
      <c r="C1121" s="869" t="s">
        <v>2206</v>
      </c>
      <c r="D1121" s="878">
        <f>'[1]PLAN DE DESARROLLO 2024 - 2027'!$M$47</f>
        <v>0.26592582694462413</v>
      </c>
      <c r="E1121" s="869" t="s">
        <v>1642</v>
      </c>
      <c r="F1121" s="879">
        <f>[2]Hoja1!$B$102</f>
        <v>0.30189198330677819</v>
      </c>
      <c r="G1121" s="869" t="s">
        <v>376</v>
      </c>
      <c r="H1121" s="869" t="s">
        <v>377</v>
      </c>
      <c r="I1121" s="869"/>
      <c r="J1121" s="869" t="s">
        <v>2207</v>
      </c>
      <c r="K1121" s="880" t="s">
        <v>2264</v>
      </c>
    </row>
    <row r="1122" spans="1:11" s="866" customFormat="1" ht="28.8" x14ac:dyDescent="0.3">
      <c r="A1122" s="869" t="s">
        <v>2076</v>
      </c>
      <c r="B1122" s="881">
        <f>'[1]PLAN DE DESARROLLO 2024 - 2027'!$M$92</f>
        <v>0.25050860314981654</v>
      </c>
      <c r="C1122" s="869" t="s">
        <v>2094</v>
      </c>
      <c r="D1122" s="878">
        <f>'[1]PLAN DE DESARROLLO 2024 - 2027'!$M$120</f>
        <v>0.19011249999999999</v>
      </c>
      <c r="E1122" s="869" t="s">
        <v>2097</v>
      </c>
      <c r="F1122" s="879">
        <f>[2]Hoja1!$B$45</f>
        <v>0.44538461538461538</v>
      </c>
      <c r="G1122" s="869" t="s">
        <v>714</v>
      </c>
      <c r="H1122" s="869" t="s">
        <v>1418</v>
      </c>
      <c r="I1122" s="869"/>
      <c r="J1122" s="869" t="s">
        <v>58</v>
      </c>
      <c r="K1122" s="880" t="s">
        <v>2264</v>
      </c>
    </row>
    <row r="1123" spans="1:11" s="866" customFormat="1" ht="43.2" x14ac:dyDescent="0.3">
      <c r="A1123" s="869" t="s">
        <v>2076</v>
      </c>
      <c r="B1123" s="881">
        <f>'[1]PLAN DE DESARROLLO 2024 - 2027'!$M$92</f>
        <v>0.25050860314981654</v>
      </c>
      <c r="C1123" s="869" t="s">
        <v>2094</v>
      </c>
      <c r="D1123" s="878">
        <f>'[1]PLAN DE DESARROLLO 2024 - 2027'!$M$120</f>
        <v>0.19011249999999999</v>
      </c>
      <c r="E1123" s="869" t="s">
        <v>2095</v>
      </c>
      <c r="F1123" s="879">
        <f>[2]Hoja1!$B$58</f>
        <v>9.4384999999999997E-2</v>
      </c>
      <c r="G1123" s="869" t="s">
        <v>706</v>
      </c>
      <c r="H1123" s="869" t="s">
        <v>1411</v>
      </c>
      <c r="I1123" s="869"/>
      <c r="J1123" s="869" t="s">
        <v>707</v>
      </c>
      <c r="K1123" s="880" t="s">
        <v>2264</v>
      </c>
    </row>
    <row r="1124" spans="1:11" s="866" customFormat="1" ht="43.2" x14ac:dyDescent="0.3">
      <c r="A1124" s="869" t="s">
        <v>2205</v>
      </c>
      <c r="B1124" s="877">
        <f>'[1]PLAN DE DESARROLLO 2024 - 2027'!$M$46</f>
        <v>0.25251661967012345</v>
      </c>
      <c r="C1124" s="869" t="s">
        <v>2206</v>
      </c>
      <c r="D1124" s="878">
        <f>'[1]PLAN DE DESARROLLO 2024 - 2027'!$M$47</f>
        <v>0.26592582694462413</v>
      </c>
      <c r="E1124" s="869" t="s">
        <v>1642</v>
      </c>
      <c r="F1124" s="879">
        <f>[2]Hoja1!$B$102</f>
        <v>0.30189198330677819</v>
      </c>
      <c r="G1124" s="869" t="s">
        <v>378</v>
      </c>
      <c r="H1124" s="869" t="s">
        <v>379</v>
      </c>
      <c r="I1124" s="869"/>
      <c r="J1124" s="869" t="s">
        <v>2207</v>
      </c>
      <c r="K1124" s="880" t="s">
        <v>2264</v>
      </c>
    </row>
    <row r="1125" spans="1:11" s="866" customFormat="1" ht="43.2" x14ac:dyDescent="0.3">
      <c r="A1125" s="869" t="s">
        <v>2205</v>
      </c>
      <c r="B1125" s="877">
        <f>'[1]PLAN DE DESARROLLO 2024 - 2027'!$M$46</f>
        <v>0.25251661967012345</v>
      </c>
      <c r="C1125" s="869" t="s">
        <v>2206</v>
      </c>
      <c r="D1125" s="878">
        <f>'[1]PLAN DE DESARROLLO 2024 - 2027'!$M$47</f>
        <v>0.26592582694462413</v>
      </c>
      <c r="E1125" s="869" t="s">
        <v>1642</v>
      </c>
      <c r="F1125" s="879">
        <f>[2]Hoja1!$B$102</f>
        <v>0.30189198330677819</v>
      </c>
      <c r="G1125" s="869" t="s">
        <v>380</v>
      </c>
      <c r="H1125" s="869" t="s">
        <v>381</v>
      </c>
      <c r="I1125" s="869"/>
      <c r="J1125" s="869" t="s">
        <v>2207</v>
      </c>
      <c r="K1125" s="880" t="s">
        <v>2264</v>
      </c>
    </row>
    <row r="1126" spans="1:11" s="866" customFormat="1" ht="28.8" x14ac:dyDescent="0.3">
      <c r="A1126" s="869" t="s">
        <v>2205</v>
      </c>
      <c r="B1126" s="877">
        <f>'[1]PLAN DE DESARROLLO 2024 - 2027'!$M$46</f>
        <v>0.25251661967012345</v>
      </c>
      <c r="C1126" s="869" t="s">
        <v>2206</v>
      </c>
      <c r="D1126" s="878">
        <f>'[1]PLAN DE DESARROLLO 2024 - 2027'!$M$47</f>
        <v>0.26592582694462413</v>
      </c>
      <c r="E1126" s="869" t="s">
        <v>1640</v>
      </c>
      <c r="F1126" s="879">
        <f>[2]Hoja1!$B$110</f>
        <v>0.16166666666666668</v>
      </c>
      <c r="G1126" s="869" t="s">
        <v>355</v>
      </c>
      <c r="H1126" s="869" t="s">
        <v>356</v>
      </c>
      <c r="I1126" s="869"/>
      <c r="J1126" s="869" t="s">
        <v>2207</v>
      </c>
      <c r="K1126" s="880" t="s">
        <v>2264</v>
      </c>
    </row>
    <row r="1127" spans="1:11" s="866" customFormat="1" ht="28.8" x14ac:dyDescent="0.3">
      <c r="A1127" s="869" t="s">
        <v>2118</v>
      </c>
      <c r="B1127" s="881">
        <f>'[1]PLAN DE DESARROLLO 2024 - 2027'!$M$161</f>
        <v>0.24647581985093744</v>
      </c>
      <c r="C1127" s="869" t="s">
        <v>2120</v>
      </c>
      <c r="D1127" s="878">
        <f>'[1]PLAN DE DESARROLLO 2024 - 2027'!$M$166</f>
        <v>0.23451309458253802</v>
      </c>
      <c r="E1127" s="869" t="s">
        <v>2131</v>
      </c>
      <c r="F1127" s="879">
        <f>[2]Hoja1!$B$109</f>
        <v>0.44041666666666668</v>
      </c>
      <c r="G1127" s="869" t="s">
        <v>967</v>
      </c>
      <c r="H1127" s="869" t="s">
        <v>1170</v>
      </c>
      <c r="I1127" s="869"/>
      <c r="J1127" s="869" t="s">
        <v>516</v>
      </c>
      <c r="K1127" s="880" t="s">
        <v>2264</v>
      </c>
    </row>
    <row r="1128" spans="1:11" s="866" customFormat="1" ht="28.8" x14ac:dyDescent="0.3">
      <c r="A1128" s="869" t="s">
        <v>2118</v>
      </c>
      <c r="B1128" s="881">
        <f>'[1]PLAN DE DESARROLLO 2024 - 2027'!$M$161</f>
        <v>0.24647581985093744</v>
      </c>
      <c r="C1128" s="869" t="s">
        <v>2120</v>
      </c>
      <c r="D1128" s="878">
        <f>'[1]PLAN DE DESARROLLO 2024 - 2027'!$M$166</f>
        <v>0.23451309458253802</v>
      </c>
      <c r="E1128" s="869" t="s">
        <v>2131</v>
      </c>
      <c r="F1128" s="879">
        <f>[2]Hoja1!$B$109</f>
        <v>0.44041666666666668</v>
      </c>
      <c r="G1128" s="869" t="s">
        <v>968</v>
      </c>
      <c r="H1128" s="869" t="s">
        <v>1171</v>
      </c>
      <c r="I1128" s="869"/>
      <c r="J1128" s="869" t="s">
        <v>516</v>
      </c>
      <c r="K1128" s="880" t="s">
        <v>2264</v>
      </c>
    </row>
    <row r="1129" spans="1:11" s="866" customFormat="1" ht="28.8" x14ac:dyDescent="0.3">
      <c r="A1129" s="869" t="s">
        <v>2118</v>
      </c>
      <c r="B1129" s="881">
        <f>'[1]PLAN DE DESARROLLO 2024 - 2027'!$M$161</f>
        <v>0.24647581985093744</v>
      </c>
      <c r="C1129" s="869" t="s">
        <v>2120</v>
      </c>
      <c r="D1129" s="878">
        <f>'[1]PLAN DE DESARROLLO 2024 - 2027'!$M$166</f>
        <v>0.23451309458253802</v>
      </c>
      <c r="E1129" s="869" t="s">
        <v>2131</v>
      </c>
      <c r="F1129" s="879">
        <f>[2]Hoja1!$B$109</f>
        <v>0.44041666666666668</v>
      </c>
      <c r="G1129" s="869" t="s">
        <v>970</v>
      </c>
      <c r="H1129" s="869" t="s">
        <v>1172</v>
      </c>
      <c r="I1129" s="869"/>
      <c r="J1129" s="869" t="s">
        <v>698</v>
      </c>
      <c r="K1129" s="880" t="s">
        <v>2264</v>
      </c>
    </row>
    <row r="1130" spans="1:11" s="866" customFormat="1" ht="28.8" x14ac:dyDescent="0.3">
      <c r="A1130" s="869" t="s">
        <v>2118</v>
      </c>
      <c r="B1130" s="881">
        <f>'[1]PLAN DE DESARROLLO 2024 - 2027'!$M$161</f>
        <v>0.24647581985093744</v>
      </c>
      <c r="C1130" s="869" t="s">
        <v>2120</v>
      </c>
      <c r="D1130" s="878">
        <f>'[1]PLAN DE DESARROLLO 2024 - 2027'!$M$166</f>
        <v>0.23451309458253802</v>
      </c>
      <c r="E1130" s="869" t="s">
        <v>2131</v>
      </c>
      <c r="F1130" s="879">
        <f>[2]Hoja1!$B$109</f>
        <v>0.44041666666666668</v>
      </c>
      <c r="G1130" s="869" t="s">
        <v>971</v>
      </c>
      <c r="H1130" s="869" t="s">
        <v>1173</v>
      </c>
      <c r="I1130" s="869"/>
      <c r="J1130" s="869" t="s">
        <v>698</v>
      </c>
      <c r="K1130" s="880" t="s">
        <v>2264</v>
      </c>
    </row>
    <row r="1131" spans="1:11" s="866" customFormat="1" x14ac:dyDescent="0.3">
      <c r="A1131" s="869" t="s">
        <v>2205</v>
      </c>
      <c r="B1131" s="877">
        <f>'[1]PLAN DE DESARROLLO 2024 - 2027'!$M$46</f>
        <v>0.25251661967012345</v>
      </c>
      <c r="C1131" s="869" t="s">
        <v>2206</v>
      </c>
      <c r="D1131" s="878">
        <f>'[1]PLAN DE DESARROLLO 2024 - 2027'!$M$47</f>
        <v>0.26592582694462413</v>
      </c>
      <c r="E1131" s="869" t="s">
        <v>1640</v>
      </c>
      <c r="F1131" s="879">
        <f>[2]Hoja1!$B$110</f>
        <v>0.16166666666666668</v>
      </c>
      <c r="G1131" s="869" t="s">
        <v>358</v>
      </c>
      <c r="H1131" s="869" t="s">
        <v>359</v>
      </c>
      <c r="I1131" s="869"/>
      <c r="J1131" s="869" t="s">
        <v>2207</v>
      </c>
      <c r="K1131" s="880" t="s">
        <v>2264</v>
      </c>
    </row>
    <row r="1132" spans="1:11" s="866" customFormat="1" ht="28.8" x14ac:dyDescent="0.3">
      <c r="A1132" s="869" t="s">
        <v>2205</v>
      </c>
      <c r="B1132" s="877">
        <f>'[1]PLAN DE DESARROLLO 2024 - 2027'!$M$46</f>
        <v>0.25251661967012345</v>
      </c>
      <c r="C1132" s="869" t="s">
        <v>2206</v>
      </c>
      <c r="D1132" s="878">
        <f>'[1]PLAN DE DESARROLLO 2024 - 2027'!$M$47</f>
        <v>0.26592582694462413</v>
      </c>
      <c r="E1132" s="869" t="s">
        <v>1640</v>
      </c>
      <c r="F1132" s="879">
        <f>[2]Hoja1!$B$110</f>
        <v>0.16166666666666668</v>
      </c>
      <c r="G1132" s="869" t="s">
        <v>360</v>
      </c>
      <c r="H1132" s="869" t="s">
        <v>361</v>
      </c>
      <c r="I1132" s="869"/>
      <c r="J1132" s="869" t="s">
        <v>2207</v>
      </c>
      <c r="K1132" s="880" t="s">
        <v>2264</v>
      </c>
    </row>
    <row r="1133" spans="1:11" s="866" customFormat="1" ht="28.8" x14ac:dyDescent="0.3">
      <c r="A1133" s="869" t="s">
        <v>2205</v>
      </c>
      <c r="B1133" s="877">
        <f>'[1]PLAN DE DESARROLLO 2024 - 2027'!$M$46</f>
        <v>0.25251661967012345</v>
      </c>
      <c r="C1133" s="869" t="s">
        <v>2206</v>
      </c>
      <c r="D1133" s="878">
        <f>'[1]PLAN DE DESARROLLO 2024 - 2027'!$M$47</f>
        <v>0.26592582694462413</v>
      </c>
      <c r="E1133" s="869" t="s">
        <v>1640</v>
      </c>
      <c r="F1133" s="879">
        <f>[2]Hoja1!$B$110</f>
        <v>0.16166666666666668</v>
      </c>
      <c r="G1133" s="869" t="s">
        <v>362</v>
      </c>
      <c r="H1133" s="869" t="s">
        <v>363</v>
      </c>
      <c r="I1133" s="869"/>
      <c r="J1133" s="869" t="s">
        <v>2207</v>
      </c>
      <c r="K1133" s="880" t="s">
        <v>2264</v>
      </c>
    </row>
    <row r="1134" spans="1:11" s="866" customFormat="1" x14ac:dyDescent="0.3">
      <c r="A1134" s="869" t="s">
        <v>2205</v>
      </c>
      <c r="B1134" s="877">
        <f>'[1]PLAN DE DESARROLLO 2024 - 2027'!$M$46</f>
        <v>0.25251661967012345</v>
      </c>
      <c r="C1134" s="869" t="s">
        <v>2206</v>
      </c>
      <c r="D1134" s="878">
        <f>'[1]PLAN DE DESARROLLO 2024 - 2027'!$M$47</f>
        <v>0.26592582694462413</v>
      </c>
      <c r="E1134" s="869" t="s">
        <v>1640</v>
      </c>
      <c r="F1134" s="879">
        <f>[2]Hoja1!$B$110</f>
        <v>0.16166666666666668</v>
      </c>
      <c r="G1134" s="869" t="s">
        <v>364</v>
      </c>
      <c r="H1134" s="869" t="s">
        <v>365</v>
      </c>
      <c r="I1134" s="869"/>
      <c r="J1134" s="869" t="s">
        <v>2207</v>
      </c>
      <c r="K1134" s="880" t="s">
        <v>2264</v>
      </c>
    </row>
    <row r="1135" spans="1:11" s="866" customFormat="1" ht="28.8" x14ac:dyDescent="0.3">
      <c r="A1135" s="869" t="s">
        <v>2205</v>
      </c>
      <c r="B1135" s="877">
        <f>'[1]PLAN DE DESARROLLO 2024 - 2027'!$M$46</f>
        <v>0.25251661967012345</v>
      </c>
      <c r="C1135" s="869" t="s">
        <v>2206</v>
      </c>
      <c r="D1135" s="878">
        <f>'[1]PLAN DE DESARROLLO 2024 - 2027'!$M$47</f>
        <v>0.26592582694462413</v>
      </c>
      <c r="E1135" s="869" t="s">
        <v>1640</v>
      </c>
      <c r="F1135" s="879">
        <f>[2]Hoja1!$B$110</f>
        <v>0.16166666666666668</v>
      </c>
      <c r="G1135" s="869" t="s">
        <v>366</v>
      </c>
      <c r="H1135" s="869" t="s">
        <v>367</v>
      </c>
      <c r="I1135" s="869"/>
      <c r="J1135" s="869" t="s">
        <v>2207</v>
      </c>
      <c r="K1135" s="880" t="s">
        <v>2264</v>
      </c>
    </row>
    <row r="1136" spans="1:11" s="866" customFormat="1" ht="28.8" x14ac:dyDescent="0.3">
      <c r="A1136" s="869" t="s">
        <v>2205</v>
      </c>
      <c r="B1136" s="877">
        <f>'[1]PLAN DE DESARROLLO 2024 - 2027'!$M$46</f>
        <v>0.25251661967012345</v>
      </c>
      <c r="C1136" s="869" t="s">
        <v>2206</v>
      </c>
      <c r="D1136" s="878">
        <f>'[1]PLAN DE DESARROLLO 2024 - 2027'!$M$47</f>
        <v>0.26592582694462413</v>
      </c>
      <c r="E1136" s="869" t="s">
        <v>1653</v>
      </c>
      <c r="F1136" s="879">
        <f>[2]Hoja1!$B$114</f>
        <v>0</v>
      </c>
      <c r="G1136" s="869" t="s">
        <v>473</v>
      </c>
      <c r="H1136" s="869" t="s">
        <v>474</v>
      </c>
      <c r="I1136" s="869"/>
      <c r="J1136" s="869" t="s">
        <v>2208</v>
      </c>
      <c r="K1136" s="880" t="s">
        <v>2264</v>
      </c>
    </row>
    <row r="1137" spans="1:11" s="866" customFormat="1" ht="57.6" x14ac:dyDescent="0.3">
      <c r="A1137" s="869" t="s">
        <v>2025</v>
      </c>
      <c r="B1137" s="881">
        <f>'[1]PLAN DE DESARROLLO 2024 - 2027'!$M$123</f>
        <v>0.20174333228533195</v>
      </c>
      <c r="C1137" s="869" t="s">
        <v>2026</v>
      </c>
      <c r="D1137" s="883">
        <f>'[1]PLAN DE DESARROLLO 2024 - 2027'!$M$143</f>
        <v>9.5123946428571443E-2</v>
      </c>
      <c r="E1137" s="869" t="s">
        <v>2027</v>
      </c>
      <c r="F1137" s="879">
        <f>[2]Hoja1!$B$39</f>
        <v>0.01</v>
      </c>
      <c r="G1137" s="869" t="s">
        <v>880</v>
      </c>
      <c r="H1137" s="869" t="s">
        <v>1327</v>
      </c>
      <c r="I1137" s="869"/>
      <c r="J1137" s="869" t="s">
        <v>2029</v>
      </c>
      <c r="K1137" s="880" t="s">
        <v>2264</v>
      </c>
    </row>
    <row r="1138" spans="1:11" s="866" customFormat="1" ht="43.2" x14ac:dyDescent="0.3">
      <c r="A1138" s="869" t="s">
        <v>2025</v>
      </c>
      <c r="B1138" s="881">
        <f>'[1]PLAN DE DESARROLLO 2024 - 2027'!$M$123</f>
        <v>0.20174333228533195</v>
      </c>
      <c r="C1138" s="869" t="s">
        <v>2026</v>
      </c>
      <c r="D1138" s="883">
        <f>'[1]PLAN DE DESARROLLO 2024 - 2027'!$M$143</f>
        <v>9.5123946428571443E-2</v>
      </c>
      <c r="E1138" s="869" t="s">
        <v>2027</v>
      </c>
      <c r="F1138" s="879">
        <f>[2]Hoja1!$B$39</f>
        <v>0.01</v>
      </c>
      <c r="G1138" s="869" t="s">
        <v>881</v>
      </c>
      <c r="H1138" s="869" t="s">
        <v>1328</v>
      </c>
      <c r="I1138" s="869"/>
      <c r="J1138" s="869" t="s">
        <v>2030</v>
      </c>
      <c r="K1138" s="880" t="s">
        <v>2264</v>
      </c>
    </row>
    <row r="1139" spans="1:11" s="866" customFormat="1" ht="28.8" x14ac:dyDescent="0.3">
      <c r="A1139" s="869" t="s">
        <v>2025</v>
      </c>
      <c r="B1139" s="881">
        <f>'[1]PLAN DE DESARROLLO 2024 - 2027'!$M$123</f>
        <v>0.20174333228533195</v>
      </c>
      <c r="C1139" s="869" t="s">
        <v>2026</v>
      </c>
      <c r="D1139" s="883">
        <f>'[1]PLAN DE DESARROLLO 2024 - 2027'!$M$143</f>
        <v>9.5123946428571443E-2</v>
      </c>
      <c r="E1139" s="869" t="s">
        <v>2075</v>
      </c>
      <c r="F1139" s="879">
        <f>[2]Hoja1!$B$113</f>
        <v>0.375</v>
      </c>
      <c r="G1139" s="869" t="s">
        <v>883</v>
      </c>
      <c r="H1139" s="869" t="s">
        <v>1329</v>
      </c>
      <c r="I1139" s="869"/>
      <c r="J1139" s="869" t="s">
        <v>490</v>
      </c>
      <c r="K1139" s="880" t="s">
        <v>2264</v>
      </c>
    </row>
    <row r="1140" spans="1:11" s="866" customFormat="1" ht="43.2" x14ac:dyDescent="0.3">
      <c r="A1140" s="869" t="s">
        <v>2025</v>
      </c>
      <c r="B1140" s="881">
        <f>'[1]PLAN DE DESARROLLO 2024 - 2027'!$M$123</f>
        <v>0.20174333228533195</v>
      </c>
      <c r="C1140" s="869" t="s">
        <v>2026</v>
      </c>
      <c r="D1140" s="883">
        <f>'[1]PLAN DE DESARROLLO 2024 - 2027'!$M$143</f>
        <v>9.5123946428571443E-2</v>
      </c>
      <c r="E1140" s="869" t="s">
        <v>2070</v>
      </c>
      <c r="F1140" s="879">
        <f>[2]Hoja1!$B$150</f>
        <v>0.1180532142857143</v>
      </c>
      <c r="G1140" s="869" t="s">
        <v>866</v>
      </c>
      <c r="H1140" s="869" t="s">
        <v>1319</v>
      </c>
      <c r="I1140" s="869"/>
      <c r="J1140" s="869" t="s">
        <v>2071</v>
      </c>
      <c r="K1140" s="880" t="s">
        <v>2264</v>
      </c>
    </row>
    <row r="1141" spans="1:11" s="866" customFormat="1" ht="28.8" x14ac:dyDescent="0.3">
      <c r="A1141" s="869" t="s">
        <v>2025</v>
      </c>
      <c r="B1141" s="881">
        <f>'[1]PLAN DE DESARROLLO 2024 - 2027'!$M$123</f>
        <v>0.20174333228533195</v>
      </c>
      <c r="C1141" s="869" t="s">
        <v>2026</v>
      </c>
      <c r="D1141" s="883">
        <f>'[1]PLAN DE DESARROLLO 2024 - 2027'!$M$143</f>
        <v>9.5123946428571443E-2</v>
      </c>
      <c r="E1141" s="869" t="s">
        <v>2070</v>
      </c>
      <c r="F1141" s="879">
        <f>[2]Hoja1!$B$150</f>
        <v>0.1180532142857143</v>
      </c>
      <c r="G1141" s="869" t="s">
        <v>868</v>
      </c>
      <c r="H1141" s="869" t="s">
        <v>1320</v>
      </c>
      <c r="I1141" s="869"/>
      <c r="J1141" s="869" t="s">
        <v>825</v>
      </c>
      <c r="K1141" s="880" t="s">
        <v>2264</v>
      </c>
    </row>
    <row r="1142" spans="1:11" s="866" customFormat="1" ht="28.8" x14ac:dyDescent="0.3">
      <c r="A1142" s="869" t="s">
        <v>2025</v>
      </c>
      <c r="B1142" s="881">
        <f>'[1]PLAN DE DESARROLLO 2024 - 2027'!$M$123</f>
        <v>0.20174333228533195</v>
      </c>
      <c r="C1142" s="869" t="s">
        <v>2026</v>
      </c>
      <c r="D1142" s="883">
        <f>'[1]PLAN DE DESARROLLO 2024 - 2027'!$M$143</f>
        <v>9.5123946428571443E-2</v>
      </c>
      <c r="E1142" s="869" t="s">
        <v>2070</v>
      </c>
      <c r="F1142" s="879">
        <f>[2]Hoja1!$B$150</f>
        <v>0.1180532142857143</v>
      </c>
      <c r="G1142" s="869" t="s">
        <v>869</v>
      </c>
      <c r="H1142" s="869" t="s">
        <v>1321</v>
      </c>
      <c r="I1142" s="869"/>
      <c r="J1142" s="869" t="s">
        <v>1540</v>
      </c>
      <c r="K1142" s="880" t="s">
        <v>2264</v>
      </c>
    </row>
    <row r="1143" spans="1:11" s="866" customFormat="1" ht="28.8" x14ac:dyDescent="0.3">
      <c r="A1143" s="869" t="s">
        <v>2025</v>
      </c>
      <c r="B1143" s="881">
        <f>'[1]PLAN DE DESARROLLO 2024 - 2027'!$M$123</f>
        <v>0.20174333228533195</v>
      </c>
      <c r="C1143" s="869" t="s">
        <v>2026</v>
      </c>
      <c r="D1143" s="883">
        <f>'[1]PLAN DE DESARROLLO 2024 - 2027'!$M$143</f>
        <v>9.5123946428571443E-2</v>
      </c>
      <c r="E1143" s="869" t="s">
        <v>2070</v>
      </c>
      <c r="F1143" s="879">
        <f>[2]Hoja1!$B$150</f>
        <v>0.1180532142857143</v>
      </c>
      <c r="G1143" s="869" t="s">
        <v>870</v>
      </c>
      <c r="H1143" s="869" t="s">
        <v>1322</v>
      </c>
      <c r="I1143" s="869"/>
      <c r="J1143" s="869" t="s">
        <v>2072</v>
      </c>
      <c r="K1143" s="880" t="s">
        <v>2264</v>
      </c>
    </row>
    <row r="1144" spans="1:11" s="866" customFormat="1" ht="28.8" x14ac:dyDescent="0.3">
      <c r="A1144" s="869" t="s">
        <v>2025</v>
      </c>
      <c r="B1144" s="881">
        <f>'[1]PLAN DE DESARROLLO 2024 - 2027'!$M$123</f>
        <v>0.20174333228533195</v>
      </c>
      <c r="C1144" s="869" t="s">
        <v>2026</v>
      </c>
      <c r="D1144" s="883">
        <f>'[1]PLAN DE DESARROLLO 2024 - 2027'!$M$143</f>
        <v>9.5123946428571443E-2</v>
      </c>
      <c r="E1144" s="869" t="s">
        <v>2070</v>
      </c>
      <c r="F1144" s="879">
        <f>[2]Hoja1!$B$150</f>
        <v>0.1180532142857143</v>
      </c>
      <c r="G1144" s="869" t="s">
        <v>872</v>
      </c>
      <c r="H1144" s="869" t="s">
        <v>1323</v>
      </c>
      <c r="I1144" s="869"/>
      <c r="J1144" s="869" t="s">
        <v>2073</v>
      </c>
      <c r="K1144" s="880" t="s">
        <v>2264</v>
      </c>
    </row>
    <row r="1145" spans="1:11" s="866" customFormat="1" ht="57.6" x14ac:dyDescent="0.3">
      <c r="A1145" s="869" t="s">
        <v>2025</v>
      </c>
      <c r="B1145" s="881">
        <f>'[1]PLAN DE DESARROLLO 2024 - 2027'!$M$123</f>
        <v>0.20174333228533195</v>
      </c>
      <c r="C1145" s="869" t="s">
        <v>2026</v>
      </c>
      <c r="D1145" s="883">
        <f>'[1]PLAN DE DESARROLLO 2024 - 2027'!$M$143</f>
        <v>9.5123946428571443E-2</v>
      </c>
      <c r="E1145" s="869" t="s">
        <v>2070</v>
      </c>
      <c r="F1145" s="879">
        <f>[2]Hoja1!$B$150</f>
        <v>0.1180532142857143</v>
      </c>
      <c r="G1145" s="869" t="s">
        <v>874</v>
      </c>
      <c r="H1145" s="869" t="s">
        <v>1324</v>
      </c>
      <c r="I1145" s="869"/>
      <c r="J1145" s="869" t="s">
        <v>2074</v>
      </c>
      <c r="K1145" s="880" t="s">
        <v>2264</v>
      </c>
    </row>
    <row r="1146" spans="1:11" s="866" customFormat="1" ht="28.8" x14ac:dyDescent="0.3">
      <c r="A1146" s="869" t="s">
        <v>2025</v>
      </c>
      <c r="B1146" s="881">
        <f>'[1]PLAN DE DESARROLLO 2024 - 2027'!$M$123</f>
        <v>0.20174333228533195</v>
      </c>
      <c r="C1146" s="869" t="s">
        <v>2026</v>
      </c>
      <c r="D1146" s="883">
        <f>'[1]PLAN DE DESARROLLO 2024 - 2027'!$M$143</f>
        <v>9.5123946428571443E-2</v>
      </c>
      <c r="E1146" s="869" t="s">
        <v>2070</v>
      </c>
      <c r="F1146" s="879">
        <f>[2]Hoja1!$B$150</f>
        <v>0.1180532142857143</v>
      </c>
      <c r="G1146" s="869" t="s">
        <v>876</v>
      </c>
      <c r="H1146" s="869" t="s">
        <v>1325</v>
      </c>
      <c r="I1146" s="869"/>
      <c r="J1146" s="869" t="s">
        <v>516</v>
      </c>
      <c r="K1146" s="880" t="s">
        <v>2264</v>
      </c>
    </row>
    <row r="1147" spans="1:11" s="866" customFormat="1" ht="28.8" x14ac:dyDescent="0.3">
      <c r="A1147" s="869" t="s">
        <v>2025</v>
      </c>
      <c r="B1147" s="881">
        <f>'[1]PLAN DE DESARROLLO 2024 - 2027'!$M$123</f>
        <v>0.20174333228533195</v>
      </c>
      <c r="C1147" s="869" t="s">
        <v>2052</v>
      </c>
      <c r="D1147" s="878">
        <f>'[1]PLAN DE DESARROLLO 2024 - 2027'!$M$127</f>
        <v>0.32068750000000001</v>
      </c>
      <c r="E1147" s="869" t="s">
        <v>2054</v>
      </c>
      <c r="F1147" s="879">
        <f>[2]Hoja1!$B$22</f>
        <v>0.15775</v>
      </c>
      <c r="G1147" s="869" t="s">
        <v>827</v>
      </c>
      <c r="H1147" s="869" t="s">
        <v>1285</v>
      </c>
      <c r="I1147" s="869"/>
      <c r="J1147" s="869" t="s">
        <v>560</v>
      </c>
      <c r="K1147" s="880" t="s">
        <v>2264</v>
      </c>
    </row>
    <row r="1148" spans="1:11" s="866" customFormat="1" ht="28.8" x14ac:dyDescent="0.3">
      <c r="A1148" s="869" t="s">
        <v>2001</v>
      </c>
      <c r="B1148" s="881">
        <f>'[1]PLAN DE DESARROLLO 2024 - 2027'!$M$198</f>
        <v>3.4556250000000004E-2</v>
      </c>
      <c r="C1148" s="869" t="s">
        <v>2005</v>
      </c>
      <c r="D1148" s="883">
        <f>'[1]PLAN DE DESARROLLO 2024 - 2027'!$M$203</f>
        <v>3.0624999999999999E-2</v>
      </c>
      <c r="E1148" s="869" t="s">
        <v>1841</v>
      </c>
      <c r="F1148" s="879">
        <f>[2]Hoja1!$B$112</f>
        <v>5.2499999999999998E-2</v>
      </c>
      <c r="G1148" s="869" t="s">
        <v>1142</v>
      </c>
      <c r="H1148" s="869" t="s">
        <v>1143</v>
      </c>
      <c r="I1148" s="869"/>
      <c r="J1148" s="869" t="s">
        <v>58</v>
      </c>
      <c r="K1148" s="880" t="s">
        <v>2264</v>
      </c>
    </row>
    <row r="1149" spans="1:11" s="866" customFormat="1" ht="28.8" x14ac:dyDescent="0.3">
      <c r="A1149" s="869" t="s">
        <v>2001</v>
      </c>
      <c r="B1149" s="881">
        <f>'[1]PLAN DE DESARROLLO 2024 - 2027'!$M$198</f>
        <v>3.4556250000000004E-2</v>
      </c>
      <c r="C1149" s="869" t="s">
        <v>2005</v>
      </c>
      <c r="D1149" s="883">
        <f>'[1]PLAN DE DESARROLLO 2024 - 2027'!$M$203</f>
        <v>3.0624999999999999E-2</v>
      </c>
      <c r="E1149" s="869" t="s">
        <v>1841</v>
      </c>
      <c r="F1149" s="879">
        <f>[2]Hoja1!$B$112</f>
        <v>5.2499999999999998E-2</v>
      </c>
      <c r="G1149" s="869" t="s">
        <v>1144</v>
      </c>
      <c r="H1149" s="869" t="s">
        <v>1145</v>
      </c>
      <c r="I1149" s="869"/>
      <c r="J1149" s="869" t="s">
        <v>297</v>
      </c>
      <c r="K1149" s="880" t="s">
        <v>2264</v>
      </c>
    </row>
    <row r="1150" spans="1:11" s="866" customFormat="1" ht="43.2" x14ac:dyDescent="0.3">
      <c r="A1150" s="869" t="s">
        <v>2001</v>
      </c>
      <c r="B1150" s="881">
        <f>'[1]PLAN DE DESARROLLO 2024 - 2027'!$M$198</f>
        <v>3.4556250000000004E-2</v>
      </c>
      <c r="C1150" s="869" t="s">
        <v>2005</v>
      </c>
      <c r="D1150" s="883">
        <f>'[1]PLAN DE DESARROLLO 2024 - 2027'!$M$203</f>
        <v>3.0624999999999999E-2</v>
      </c>
      <c r="E1150" s="869" t="s">
        <v>1841</v>
      </c>
      <c r="F1150" s="879">
        <f>[2]Hoja1!$B$112</f>
        <v>5.2499999999999998E-2</v>
      </c>
      <c r="G1150" s="869" t="s">
        <v>1147</v>
      </c>
      <c r="H1150" s="869" t="s">
        <v>1148</v>
      </c>
      <c r="I1150" s="869"/>
      <c r="J1150" s="869" t="s">
        <v>516</v>
      </c>
      <c r="K1150" s="880" t="s">
        <v>2264</v>
      </c>
    </row>
    <row r="1151" spans="1:11" s="866" customFormat="1" ht="28.8" x14ac:dyDescent="0.3">
      <c r="A1151" s="869" t="s">
        <v>2001</v>
      </c>
      <c r="B1151" s="881">
        <f>'[1]PLAN DE DESARROLLO 2024 - 2027'!$M$198</f>
        <v>3.4556250000000004E-2</v>
      </c>
      <c r="C1151" s="869" t="s">
        <v>2005</v>
      </c>
      <c r="D1151" s="883">
        <f>'[1]PLAN DE DESARROLLO 2024 - 2027'!$M$203</f>
        <v>3.0624999999999999E-2</v>
      </c>
      <c r="E1151" s="869" t="s">
        <v>1841</v>
      </c>
      <c r="F1151" s="879">
        <f>[2]Hoja1!$B$112</f>
        <v>5.2499999999999998E-2</v>
      </c>
      <c r="G1151" s="869" t="s">
        <v>1149</v>
      </c>
      <c r="H1151" s="869" t="s">
        <v>1150</v>
      </c>
      <c r="I1151" s="869"/>
      <c r="J1151" s="869" t="s">
        <v>1151</v>
      </c>
      <c r="K1151" s="880" t="s">
        <v>2264</v>
      </c>
    </row>
    <row r="1152" spans="1:11" s="866" customFormat="1" ht="28.8" x14ac:dyDescent="0.3">
      <c r="A1152" s="869" t="s">
        <v>2001</v>
      </c>
      <c r="B1152" s="881">
        <f>'[1]PLAN DE DESARROLLO 2024 - 2027'!$M$198</f>
        <v>3.4556250000000004E-2</v>
      </c>
      <c r="C1152" s="869" t="s">
        <v>2005</v>
      </c>
      <c r="D1152" s="883">
        <f>'[1]PLAN DE DESARROLLO 2024 - 2027'!$M$203</f>
        <v>3.0624999999999999E-2</v>
      </c>
      <c r="E1152" s="869" t="s">
        <v>1841</v>
      </c>
      <c r="F1152" s="879">
        <f>[2]Hoja1!$B$112</f>
        <v>5.2499999999999998E-2</v>
      </c>
      <c r="G1152" s="869" t="s">
        <v>1152</v>
      </c>
      <c r="H1152" s="869" t="s">
        <v>1153</v>
      </c>
      <c r="I1152" s="869"/>
      <c r="J1152" s="869" t="s">
        <v>1151</v>
      </c>
      <c r="K1152" s="880" t="s">
        <v>2264</v>
      </c>
    </row>
    <row r="1153" spans="1:11" s="866" customFormat="1" ht="28.8" x14ac:dyDescent="0.3">
      <c r="A1153" s="869" t="s">
        <v>2025</v>
      </c>
      <c r="B1153" s="881">
        <f>'[1]PLAN DE DESARROLLO 2024 - 2027'!$M$123</f>
        <v>0.20174333228533195</v>
      </c>
      <c r="C1153" s="869" t="s">
        <v>2052</v>
      </c>
      <c r="D1153" s="878">
        <f>'[1]PLAN DE DESARROLLO 2024 - 2027'!$M$127</f>
        <v>0.32068750000000001</v>
      </c>
      <c r="E1153" s="869" t="s">
        <v>2054</v>
      </c>
      <c r="F1153" s="879">
        <f>[2]Hoja1!$B$22</f>
        <v>0.15775</v>
      </c>
      <c r="G1153" s="869" t="s">
        <v>828</v>
      </c>
      <c r="H1153" s="869" t="s">
        <v>1286</v>
      </c>
      <c r="I1153" s="869"/>
      <c r="J1153" s="869" t="s">
        <v>560</v>
      </c>
      <c r="K1153" s="880" t="s">
        <v>2264</v>
      </c>
    </row>
    <row r="1154" spans="1:11" s="866" customFormat="1" x14ac:dyDescent="0.3">
      <c r="A1154" s="869" t="s">
        <v>2205</v>
      </c>
      <c r="B1154" s="877">
        <f>'[1]PLAN DE DESARROLLO 2024 - 2027'!$M$46</f>
        <v>0.25251661967012345</v>
      </c>
      <c r="C1154" s="869" t="s">
        <v>2206</v>
      </c>
      <c r="D1154" s="878">
        <f>'[1]PLAN DE DESARROLLO 2024 - 2027'!$M$47</f>
        <v>0.26592582694462413</v>
      </c>
      <c r="E1154" s="869" t="s">
        <v>1653</v>
      </c>
      <c r="F1154" s="879">
        <f>[2]Hoja1!$B$114</f>
        <v>0</v>
      </c>
      <c r="G1154" s="869" t="s">
        <v>476</v>
      </c>
      <c r="H1154" s="869" t="s">
        <v>477</v>
      </c>
      <c r="I1154" s="869"/>
      <c r="J1154" s="869" t="s">
        <v>2208</v>
      </c>
      <c r="K1154" s="880" t="s">
        <v>2264</v>
      </c>
    </row>
    <row r="1155" spans="1:11" s="866" customFormat="1" ht="28.8" x14ac:dyDescent="0.3">
      <c r="A1155" s="869" t="s">
        <v>2205</v>
      </c>
      <c r="B1155" s="877">
        <f>'[1]PLAN DE DESARROLLO 2024 - 2027'!$M$46</f>
        <v>0.25251661967012345</v>
      </c>
      <c r="C1155" s="869" t="s">
        <v>2206</v>
      </c>
      <c r="D1155" s="878">
        <f>'[1]PLAN DE DESARROLLO 2024 - 2027'!$M$47</f>
        <v>0.26592582694462413</v>
      </c>
      <c r="E1155" s="869" t="s">
        <v>1653</v>
      </c>
      <c r="F1155" s="879">
        <f>[2]Hoja1!$B$114</f>
        <v>0</v>
      </c>
      <c r="G1155" s="869" t="s">
        <v>478</v>
      </c>
      <c r="H1155" s="869" t="s">
        <v>479</v>
      </c>
      <c r="I1155" s="869"/>
      <c r="J1155" s="869" t="s">
        <v>2208</v>
      </c>
      <c r="K1155" s="880" t="s">
        <v>2264</v>
      </c>
    </row>
    <row r="1156" spans="1:11" s="866" customFormat="1" ht="28.8" x14ac:dyDescent="0.3">
      <c r="A1156" s="869" t="s">
        <v>2205</v>
      </c>
      <c r="B1156" s="877">
        <f>'[1]PLAN DE DESARROLLO 2024 - 2027'!$M$46</f>
        <v>0.25251661967012345</v>
      </c>
      <c r="C1156" s="869" t="s">
        <v>2206</v>
      </c>
      <c r="D1156" s="878">
        <f>'[1]PLAN DE DESARROLLO 2024 - 2027'!$M$47</f>
        <v>0.26592582694462413</v>
      </c>
      <c r="E1156" s="869" t="s">
        <v>1653</v>
      </c>
      <c r="F1156" s="879">
        <f>[2]Hoja1!$B$114</f>
        <v>0</v>
      </c>
      <c r="G1156" s="869" t="s">
        <v>480</v>
      </c>
      <c r="H1156" s="869" t="s">
        <v>481</v>
      </c>
      <c r="I1156" s="869"/>
      <c r="J1156" s="869" t="s">
        <v>2208</v>
      </c>
      <c r="K1156" s="880" t="s">
        <v>2264</v>
      </c>
    </row>
    <row r="1157" spans="1:11" s="866" customFormat="1" x14ac:dyDescent="0.3">
      <c r="A1157" s="869" t="s">
        <v>2205</v>
      </c>
      <c r="B1157" s="877">
        <f>'[1]PLAN DE DESARROLLO 2024 - 2027'!$M$46</f>
        <v>0.25251661967012345</v>
      </c>
      <c r="C1157" s="869" t="s">
        <v>2206</v>
      </c>
      <c r="D1157" s="878">
        <f>'[1]PLAN DE DESARROLLO 2024 - 2027'!$M$47</f>
        <v>0.26592582694462413</v>
      </c>
      <c r="E1157" s="869" t="s">
        <v>1653</v>
      </c>
      <c r="F1157" s="879">
        <f>[2]Hoja1!$B$114</f>
        <v>0</v>
      </c>
      <c r="G1157" s="869" t="s">
        <v>482</v>
      </c>
      <c r="H1157" s="869" t="s">
        <v>483</v>
      </c>
      <c r="I1157" s="869"/>
      <c r="J1157" s="869" t="s">
        <v>2208</v>
      </c>
      <c r="K1157" s="880" t="s">
        <v>2264</v>
      </c>
    </row>
    <row r="1158" spans="1:11" s="866" customFormat="1" x14ac:dyDescent="0.3">
      <c r="A1158" s="869" t="s">
        <v>2205</v>
      </c>
      <c r="B1158" s="877">
        <f>'[1]PLAN DE DESARROLLO 2024 - 2027'!$M$46</f>
        <v>0.25251661967012345</v>
      </c>
      <c r="C1158" s="869" t="s">
        <v>2206</v>
      </c>
      <c r="D1158" s="878">
        <f>'[1]PLAN DE DESARROLLO 2024 - 2027'!$M$47</f>
        <v>0.26592582694462413</v>
      </c>
      <c r="E1158" s="869" t="s">
        <v>1653</v>
      </c>
      <c r="F1158" s="879">
        <f>[2]Hoja1!$B$114</f>
        <v>0</v>
      </c>
      <c r="G1158" s="869" t="s">
        <v>484</v>
      </c>
      <c r="H1158" s="869" t="s">
        <v>485</v>
      </c>
      <c r="I1158" s="869"/>
      <c r="J1158" s="869" t="s">
        <v>2208</v>
      </c>
      <c r="K1158" s="880" t="s">
        <v>2264</v>
      </c>
    </row>
    <row r="1159" spans="1:11" s="866" customFormat="1" x14ac:dyDescent="0.3">
      <c r="A1159" s="869" t="s">
        <v>2205</v>
      </c>
      <c r="B1159" s="877">
        <f>'[1]PLAN DE DESARROLLO 2024 - 2027'!$M$46</f>
        <v>0.25251661967012345</v>
      </c>
      <c r="C1159" s="869" t="s">
        <v>2206</v>
      </c>
      <c r="D1159" s="878">
        <f>'[1]PLAN DE DESARROLLO 2024 - 2027'!$M$47</f>
        <v>0.26592582694462413</v>
      </c>
      <c r="E1159" s="869" t="s">
        <v>1653</v>
      </c>
      <c r="F1159" s="879">
        <f>[2]Hoja1!$B$114</f>
        <v>0</v>
      </c>
      <c r="G1159" s="869" t="s">
        <v>486</v>
      </c>
      <c r="H1159" s="869" t="s">
        <v>487</v>
      </c>
      <c r="I1159" s="869"/>
      <c r="J1159" s="869" t="s">
        <v>2208</v>
      </c>
      <c r="K1159" s="880" t="s">
        <v>2264</v>
      </c>
    </row>
    <row r="1160" spans="1:11" s="866" customFormat="1" ht="43.2" x14ac:dyDescent="0.3">
      <c r="A1160" s="869" t="s">
        <v>2205</v>
      </c>
      <c r="B1160" s="877">
        <f>'[1]PLAN DE DESARROLLO 2024 - 2027'!$M$46</f>
        <v>0.25251661967012345</v>
      </c>
      <c r="C1160" s="869" t="s">
        <v>2206</v>
      </c>
      <c r="D1160" s="878">
        <f>'[1]PLAN DE DESARROLLO 2024 - 2027'!$M$47</f>
        <v>0.26592582694462413</v>
      </c>
      <c r="E1160" s="869" t="s">
        <v>1651</v>
      </c>
      <c r="F1160" s="879">
        <f>[2]Hoja1!$B$159</f>
        <v>0.15592630718954248</v>
      </c>
      <c r="G1160" s="869" t="s">
        <v>2227</v>
      </c>
      <c r="H1160" s="869" t="s">
        <v>2228</v>
      </c>
      <c r="I1160" s="869"/>
      <c r="J1160" s="869" t="s">
        <v>2207</v>
      </c>
      <c r="K1160" s="880" t="s">
        <v>2264</v>
      </c>
    </row>
    <row r="1161" spans="1:11" s="866" customFormat="1" ht="28.8" x14ac:dyDescent="0.3">
      <c r="A1161" s="869" t="s">
        <v>2025</v>
      </c>
      <c r="B1161" s="881">
        <f>'[1]PLAN DE DESARROLLO 2024 - 2027'!$M$123</f>
        <v>0.20174333228533195</v>
      </c>
      <c r="C1161" s="869" t="s">
        <v>2052</v>
      </c>
      <c r="D1161" s="878">
        <f>'[1]PLAN DE DESARROLLO 2024 - 2027'!$M$127</f>
        <v>0.32068750000000001</v>
      </c>
      <c r="E1161" s="869" t="s">
        <v>2054</v>
      </c>
      <c r="F1161" s="879">
        <f>[2]Hoja1!$B$22</f>
        <v>0.15775</v>
      </c>
      <c r="G1161" s="869" t="s">
        <v>829</v>
      </c>
      <c r="H1161" s="869" t="s">
        <v>1287</v>
      </c>
      <c r="I1161" s="869"/>
      <c r="J1161" s="869" t="s">
        <v>560</v>
      </c>
      <c r="K1161" s="880" t="s">
        <v>2264</v>
      </c>
    </row>
    <row r="1162" spans="1:11" s="866" customFormat="1" ht="28.8" x14ac:dyDescent="0.3">
      <c r="A1162" s="869" t="s">
        <v>2025</v>
      </c>
      <c r="B1162" s="881">
        <f>'[1]PLAN DE DESARROLLO 2024 - 2027'!$M$123</f>
        <v>0.20174333228533195</v>
      </c>
      <c r="C1162" s="869" t="s">
        <v>2052</v>
      </c>
      <c r="D1162" s="878">
        <f>'[1]PLAN DE DESARROLLO 2024 - 2027'!$M$127</f>
        <v>0.32068750000000001</v>
      </c>
      <c r="E1162" s="869" t="s">
        <v>2053</v>
      </c>
      <c r="F1162" s="879">
        <f>[2]Hoja1!$B$133</f>
        <v>0.375</v>
      </c>
      <c r="G1162" s="869" t="s">
        <v>821</v>
      </c>
      <c r="H1162" s="869" t="s">
        <v>1280</v>
      </c>
      <c r="I1162" s="869"/>
      <c r="J1162" s="869" t="s">
        <v>560</v>
      </c>
      <c r="K1162" s="880" t="s">
        <v>2264</v>
      </c>
    </row>
    <row r="1163" spans="1:11" s="866" customFormat="1" ht="43.2" x14ac:dyDescent="0.3">
      <c r="A1163" s="869" t="s">
        <v>2118</v>
      </c>
      <c r="B1163" s="881">
        <f>'[1]PLAN DE DESARROLLO 2024 - 2027'!$M$161</f>
        <v>0.24647581985093744</v>
      </c>
      <c r="C1163" s="869" t="s">
        <v>2126</v>
      </c>
      <c r="D1163" s="878">
        <f>'[1]PLAN DE DESARROLLO 2024 - 2027'!$M$184</f>
        <v>0.18265127235728812</v>
      </c>
      <c r="E1163" s="869" t="s">
        <v>2138</v>
      </c>
      <c r="F1163" s="879">
        <f>[2]Hoja1!$B$116</f>
        <v>0.382994593493032</v>
      </c>
      <c r="G1163" s="869" t="s">
        <v>1011</v>
      </c>
      <c r="H1163" s="869" t="s">
        <v>1210</v>
      </c>
      <c r="I1163" s="869"/>
      <c r="J1163" s="869" t="s">
        <v>1012</v>
      </c>
      <c r="K1163" s="880" t="s">
        <v>2264</v>
      </c>
    </row>
    <row r="1164" spans="1:11" s="866" customFormat="1" ht="43.2" x14ac:dyDescent="0.3">
      <c r="A1164" s="869" t="s">
        <v>2118</v>
      </c>
      <c r="B1164" s="881">
        <f>'[1]PLAN DE DESARROLLO 2024 - 2027'!$M$161</f>
        <v>0.24647581985093744</v>
      </c>
      <c r="C1164" s="869" t="s">
        <v>2126</v>
      </c>
      <c r="D1164" s="878">
        <f>'[1]PLAN DE DESARROLLO 2024 - 2027'!$M$184</f>
        <v>0.18265127235728812</v>
      </c>
      <c r="E1164" s="869" t="s">
        <v>2138</v>
      </c>
      <c r="F1164" s="879">
        <f>[2]Hoja1!$B$116</f>
        <v>0.382994593493032</v>
      </c>
      <c r="G1164" s="869" t="s">
        <v>1013</v>
      </c>
      <c r="H1164" s="869" t="s">
        <v>1211</v>
      </c>
      <c r="I1164" s="869"/>
      <c r="J1164" s="869" t="s">
        <v>1012</v>
      </c>
      <c r="K1164" s="880" t="s">
        <v>2264</v>
      </c>
    </row>
    <row r="1165" spans="1:11" s="866" customFormat="1" ht="28.8" x14ac:dyDescent="0.3">
      <c r="A1165" s="869" t="s">
        <v>2118</v>
      </c>
      <c r="B1165" s="881">
        <f>'[1]PLAN DE DESARROLLO 2024 - 2027'!$M$161</f>
        <v>0.24647581985093744</v>
      </c>
      <c r="C1165" s="869" t="s">
        <v>2126</v>
      </c>
      <c r="D1165" s="878">
        <f>'[1]PLAN DE DESARROLLO 2024 - 2027'!$M$184</f>
        <v>0.18265127235728812</v>
      </c>
      <c r="E1165" s="869" t="s">
        <v>2138</v>
      </c>
      <c r="F1165" s="879">
        <f>[2]Hoja1!$B$116</f>
        <v>0.382994593493032</v>
      </c>
      <c r="G1165" s="869" t="s">
        <v>1014</v>
      </c>
      <c r="H1165" s="869" t="s">
        <v>1212</v>
      </c>
      <c r="I1165" s="869"/>
      <c r="J1165" s="869" t="s">
        <v>1012</v>
      </c>
      <c r="K1165" s="880" t="s">
        <v>2264</v>
      </c>
    </row>
    <row r="1166" spans="1:11" s="866" customFormat="1" ht="28.8" x14ac:dyDescent="0.3">
      <c r="A1166" s="869" t="s">
        <v>2118</v>
      </c>
      <c r="B1166" s="881">
        <f>'[1]PLAN DE DESARROLLO 2024 - 2027'!$M$161</f>
        <v>0.24647581985093744</v>
      </c>
      <c r="C1166" s="869" t="s">
        <v>2126</v>
      </c>
      <c r="D1166" s="878">
        <f>'[1]PLAN DE DESARROLLO 2024 - 2027'!$M$184</f>
        <v>0.18265127235728812</v>
      </c>
      <c r="E1166" s="869" t="s">
        <v>2138</v>
      </c>
      <c r="F1166" s="879">
        <f>[2]Hoja1!$B$116</f>
        <v>0.382994593493032</v>
      </c>
      <c r="G1166" s="869" t="s">
        <v>1015</v>
      </c>
      <c r="H1166" s="869" t="s">
        <v>1213</v>
      </c>
      <c r="I1166" s="869"/>
      <c r="J1166" s="869" t="s">
        <v>1012</v>
      </c>
      <c r="K1166" s="880" t="s">
        <v>2264</v>
      </c>
    </row>
    <row r="1167" spans="1:11" s="866" customFormat="1" ht="57.6" x14ac:dyDescent="0.3">
      <c r="A1167" s="869" t="s">
        <v>2118</v>
      </c>
      <c r="B1167" s="881">
        <f>'[1]PLAN DE DESARROLLO 2024 - 2027'!$M$161</f>
        <v>0.24647581985093744</v>
      </c>
      <c r="C1167" s="869" t="s">
        <v>2126</v>
      </c>
      <c r="D1167" s="878">
        <f>'[1]PLAN DE DESARROLLO 2024 - 2027'!$M$184</f>
        <v>0.18265127235728812</v>
      </c>
      <c r="E1167" s="869" t="s">
        <v>2138</v>
      </c>
      <c r="F1167" s="879">
        <f>[2]Hoja1!$B$116</f>
        <v>0.382994593493032</v>
      </c>
      <c r="G1167" s="869" t="s">
        <v>1016</v>
      </c>
      <c r="H1167" s="869" t="s">
        <v>1214</v>
      </c>
      <c r="I1167" s="869"/>
      <c r="J1167" s="869" t="s">
        <v>1012</v>
      </c>
      <c r="K1167" s="880" t="s">
        <v>2264</v>
      </c>
    </row>
    <row r="1168" spans="1:11" s="866" customFormat="1" ht="43.2" x14ac:dyDescent="0.3">
      <c r="A1168" s="869" t="s">
        <v>2118</v>
      </c>
      <c r="B1168" s="881">
        <f>'[1]PLAN DE DESARROLLO 2024 - 2027'!$M$161</f>
        <v>0.24647581985093744</v>
      </c>
      <c r="C1168" s="869" t="s">
        <v>2126</v>
      </c>
      <c r="D1168" s="878">
        <f>'[1]PLAN DE DESARROLLO 2024 - 2027'!$M$184</f>
        <v>0.18265127235728812</v>
      </c>
      <c r="E1168" s="869" t="s">
        <v>2138</v>
      </c>
      <c r="F1168" s="879">
        <f>[2]Hoja1!$B$116</f>
        <v>0.382994593493032</v>
      </c>
      <c r="G1168" s="869" t="s">
        <v>1017</v>
      </c>
      <c r="H1168" s="869" t="s">
        <v>1215</v>
      </c>
      <c r="I1168" s="869"/>
      <c r="J1168" s="869" t="s">
        <v>1012</v>
      </c>
      <c r="K1168" s="880" t="s">
        <v>2264</v>
      </c>
    </row>
    <row r="1169" spans="1:11" s="866" customFormat="1" ht="28.8" x14ac:dyDescent="0.3">
      <c r="A1169" s="869" t="s">
        <v>2118</v>
      </c>
      <c r="B1169" s="881">
        <f>'[1]PLAN DE DESARROLLO 2024 - 2027'!$M$161</f>
        <v>0.24647581985093744</v>
      </c>
      <c r="C1169" s="869" t="s">
        <v>2126</v>
      </c>
      <c r="D1169" s="878">
        <f>'[1]PLAN DE DESARROLLO 2024 - 2027'!$M$184</f>
        <v>0.18265127235728812</v>
      </c>
      <c r="E1169" s="869" t="s">
        <v>2139</v>
      </c>
      <c r="F1169" s="879">
        <f>[2]Hoja1!$B$117</f>
        <v>0.14799999999999999</v>
      </c>
      <c r="G1169" s="869" t="s">
        <v>1018</v>
      </c>
      <c r="H1169" s="869" t="s">
        <v>1216</v>
      </c>
      <c r="I1169" s="869"/>
      <c r="J1169" s="869" t="s">
        <v>1012</v>
      </c>
      <c r="K1169" s="880" t="s">
        <v>2264</v>
      </c>
    </row>
    <row r="1170" spans="1:11" s="866" customFormat="1" ht="28.8" x14ac:dyDescent="0.3">
      <c r="A1170" s="869" t="s">
        <v>2118</v>
      </c>
      <c r="B1170" s="881">
        <f>'[1]PLAN DE DESARROLLO 2024 - 2027'!$M$161</f>
        <v>0.24647581985093744</v>
      </c>
      <c r="C1170" s="869" t="s">
        <v>2126</v>
      </c>
      <c r="D1170" s="878">
        <f>'[1]PLAN DE DESARROLLO 2024 - 2027'!$M$184</f>
        <v>0.18265127235728812</v>
      </c>
      <c r="E1170" s="869" t="s">
        <v>2139</v>
      </c>
      <c r="F1170" s="879">
        <f>[2]Hoja1!$B$117</f>
        <v>0.14799999999999999</v>
      </c>
      <c r="G1170" s="869" t="s">
        <v>1019</v>
      </c>
      <c r="H1170" s="869" t="s">
        <v>1217</v>
      </c>
      <c r="I1170" s="869"/>
      <c r="J1170" s="869" t="s">
        <v>1012</v>
      </c>
      <c r="K1170" s="880" t="s">
        <v>2264</v>
      </c>
    </row>
    <row r="1171" spans="1:11" s="866" customFormat="1" ht="28.8" x14ac:dyDescent="0.3">
      <c r="A1171" s="869" t="s">
        <v>2118</v>
      </c>
      <c r="B1171" s="881">
        <f>'[1]PLAN DE DESARROLLO 2024 - 2027'!$M$161</f>
        <v>0.24647581985093744</v>
      </c>
      <c r="C1171" s="869" t="s">
        <v>2126</v>
      </c>
      <c r="D1171" s="878">
        <f>'[1]PLAN DE DESARROLLO 2024 - 2027'!$M$184</f>
        <v>0.18265127235728812</v>
      </c>
      <c r="E1171" s="869" t="s">
        <v>2139</v>
      </c>
      <c r="F1171" s="879">
        <f>[2]Hoja1!$B$117</f>
        <v>0.14799999999999999</v>
      </c>
      <c r="G1171" s="869" t="s">
        <v>1020</v>
      </c>
      <c r="H1171" s="869" t="s">
        <v>1218</v>
      </c>
      <c r="I1171" s="869"/>
      <c r="J1171" s="869" t="s">
        <v>1012</v>
      </c>
      <c r="K1171" s="880" t="s">
        <v>2264</v>
      </c>
    </row>
    <row r="1172" spans="1:11" s="866" customFormat="1" ht="28.8" x14ac:dyDescent="0.3">
      <c r="A1172" s="869" t="s">
        <v>2118</v>
      </c>
      <c r="B1172" s="881">
        <f>'[1]PLAN DE DESARROLLO 2024 - 2027'!$M$161</f>
        <v>0.24647581985093744</v>
      </c>
      <c r="C1172" s="869" t="s">
        <v>2126</v>
      </c>
      <c r="D1172" s="878">
        <f>'[1]PLAN DE DESARROLLO 2024 - 2027'!$M$184</f>
        <v>0.18265127235728812</v>
      </c>
      <c r="E1172" s="869" t="s">
        <v>2139</v>
      </c>
      <c r="F1172" s="879">
        <f>[2]Hoja1!$B$117</f>
        <v>0.14799999999999999</v>
      </c>
      <c r="G1172" s="869" t="s">
        <v>1021</v>
      </c>
      <c r="H1172" s="869" t="s">
        <v>1219</v>
      </c>
      <c r="I1172" s="869"/>
      <c r="J1172" s="869" t="s">
        <v>1012</v>
      </c>
      <c r="K1172" s="880" t="s">
        <v>2264</v>
      </c>
    </row>
    <row r="1173" spans="1:11" s="866" customFormat="1" ht="43.2" x14ac:dyDescent="0.3">
      <c r="A1173" s="869" t="s">
        <v>2118</v>
      </c>
      <c r="B1173" s="881">
        <f>'[1]PLAN DE DESARROLLO 2024 - 2027'!$M$161</f>
        <v>0.24647581985093744</v>
      </c>
      <c r="C1173" s="869" t="s">
        <v>2126</v>
      </c>
      <c r="D1173" s="878">
        <f>'[1]PLAN DE DESARROLLO 2024 - 2027'!$M$184</f>
        <v>0.18265127235728812</v>
      </c>
      <c r="E1173" s="869" t="s">
        <v>2139</v>
      </c>
      <c r="F1173" s="879">
        <f>[2]Hoja1!$B$117</f>
        <v>0.14799999999999999</v>
      </c>
      <c r="G1173" s="869" t="s">
        <v>1022</v>
      </c>
      <c r="H1173" s="869" t="s">
        <v>1220</v>
      </c>
      <c r="I1173" s="869"/>
      <c r="J1173" s="869" t="s">
        <v>1012</v>
      </c>
      <c r="K1173" s="880" t="s">
        <v>2264</v>
      </c>
    </row>
    <row r="1174" spans="1:11" s="866" customFormat="1" ht="43.2" x14ac:dyDescent="0.3">
      <c r="A1174" s="869" t="s">
        <v>2118</v>
      </c>
      <c r="B1174" s="881">
        <f>'[1]PLAN DE DESARROLLO 2024 - 2027'!$M$161</f>
        <v>0.24647581985093744</v>
      </c>
      <c r="C1174" s="869" t="s">
        <v>2126</v>
      </c>
      <c r="D1174" s="878">
        <f>'[1]PLAN DE DESARROLLO 2024 - 2027'!$M$184</f>
        <v>0.18265127235728812</v>
      </c>
      <c r="E1174" s="869" t="s">
        <v>2139</v>
      </c>
      <c r="F1174" s="879">
        <f>[2]Hoja1!$B$117</f>
        <v>0.14799999999999999</v>
      </c>
      <c r="G1174" s="869" t="s">
        <v>1023</v>
      </c>
      <c r="H1174" s="869" t="s">
        <v>1221</v>
      </c>
      <c r="I1174" s="869"/>
      <c r="J1174" s="869" t="s">
        <v>1012</v>
      </c>
      <c r="K1174" s="880" t="s">
        <v>2264</v>
      </c>
    </row>
    <row r="1175" spans="1:11" s="866" customFormat="1" ht="28.8" x14ac:dyDescent="0.3">
      <c r="A1175" s="869" t="s">
        <v>2118</v>
      </c>
      <c r="B1175" s="881">
        <f>'[1]PLAN DE DESARROLLO 2024 - 2027'!$M$161</f>
        <v>0.24647581985093744</v>
      </c>
      <c r="C1175" s="869" t="s">
        <v>2126</v>
      </c>
      <c r="D1175" s="878">
        <f>'[1]PLAN DE DESARROLLO 2024 - 2027'!$M$184</f>
        <v>0.18265127235728812</v>
      </c>
      <c r="E1175" s="869" t="s">
        <v>1834</v>
      </c>
      <c r="F1175" s="879">
        <f>[2]Hoja1!$B$118</f>
        <v>0.20865</v>
      </c>
      <c r="G1175" s="869" t="s">
        <v>1026</v>
      </c>
      <c r="H1175" s="869" t="s">
        <v>1223</v>
      </c>
      <c r="I1175" s="869"/>
      <c r="J1175" s="869" t="s">
        <v>1012</v>
      </c>
      <c r="K1175" s="880" t="s">
        <v>2264</v>
      </c>
    </row>
    <row r="1176" spans="1:11" s="866" customFormat="1" ht="28.8" x14ac:dyDescent="0.3">
      <c r="A1176" s="869" t="s">
        <v>2118</v>
      </c>
      <c r="B1176" s="881">
        <f>'[1]PLAN DE DESARROLLO 2024 - 2027'!$M$161</f>
        <v>0.24647581985093744</v>
      </c>
      <c r="C1176" s="869" t="s">
        <v>2126</v>
      </c>
      <c r="D1176" s="878">
        <f>'[1]PLAN DE DESARROLLO 2024 - 2027'!$M$184</f>
        <v>0.18265127235728812</v>
      </c>
      <c r="E1176" s="869" t="s">
        <v>1834</v>
      </c>
      <c r="F1176" s="879">
        <f>[2]Hoja1!$B$118</f>
        <v>0.20865</v>
      </c>
      <c r="G1176" s="869" t="s">
        <v>1027</v>
      </c>
      <c r="H1176" s="869" t="s">
        <v>1224</v>
      </c>
      <c r="I1176" s="869"/>
      <c r="J1176" s="869" t="s">
        <v>1012</v>
      </c>
      <c r="K1176" s="880" t="s">
        <v>2264</v>
      </c>
    </row>
    <row r="1177" spans="1:11" s="866" customFormat="1" ht="43.2" x14ac:dyDescent="0.3">
      <c r="A1177" s="869" t="s">
        <v>2118</v>
      </c>
      <c r="B1177" s="881">
        <f>'[1]PLAN DE DESARROLLO 2024 - 2027'!$M$161</f>
        <v>0.24647581985093744</v>
      </c>
      <c r="C1177" s="869" t="s">
        <v>2126</v>
      </c>
      <c r="D1177" s="878">
        <f>'[1]PLAN DE DESARROLLO 2024 - 2027'!$M$184</f>
        <v>0.18265127235728812</v>
      </c>
      <c r="E1177" s="869" t="s">
        <v>1834</v>
      </c>
      <c r="F1177" s="879">
        <f>[2]Hoja1!$B$118</f>
        <v>0.20865</v>
      </c>
      <c r="G1177" s="869" t="s">
        <v>1028</v>
      </c>
      <c r="H1177" s="869" t="s">
        <v>1225</v>
      </c>
      <c r="I1177" s="869"/>
      <c r="J1177" s="869" t="s">
        <v>1012</v>
      </c>
      <c r="K1177" s="880" t="s">
        <v>2264</v>
      </c>
    </row>
    <row r="1178" spans="1:11" s="866" customFormat="1" ht="43.2" x14ac:dyDescent="0.3">
      <c r="A1178" s="869" t="s">
        <v>2118</v>
      </c>
      <c r="B1178" s="881">
        <f>'[1]PLAN DE DESARROLLO 2024 - 2027'!$M$161</f>
        <v>0.24647581985093744</v>
      </c>
      <c r="C1178" s="869" t="s">
        <v>2126</v>
      </c>
      <c r="D1178" s="878">
        <f>'[1]PLAN DE DESARROLLO 2024 - 2027'!$M$184</f>
        <v>0.18265127235728812</v>
      </c>
      <c r="E1178" s="869" t="s">
        <v>1834</v>
      </c>
      <c r="F1178" s="879">
        <f>[2]Hoja1!$B$118</f>
        <v>0.20865</v>
      </c>
      <c r="G1178" s="869" t="s">
        <v>1029</v>
      </c>
      <c r="H1178" s="869" t="s">
        <v>1226</v>
      </c>
      <c r="I1178" s="869"/>
      <c r="J1178" s="869" t="s">
        <v>1012</v>
      </c>
      <c r="K1178" s="880" t="s">
        <v>2264</v>
      </c>
    </row>
    <row r="1179" spans="1:11" s="866" customFormat="1" ht="28.8" x14ac:dyDescent="0.3">
      <c r="A1179" s="869" t="s">
        <v>2118</v>
      </c>
      <c r="B1179" s="881">
        <f>'[1]PLAN DE DESARROLLO 2024 - 2027'!$M$161</f>
        <v>0.24647581985093744</v>
      </c>
      <c r="C1179" s="869" t="s">
        <v>2120</v>
      </c>
      <c r="D1179" s="878">
        <f>'[1]PLAN DE DESARROLLO 2024 - 2027'!$M$166</f>
        <v>0.23451309458253802</v>
      </c>
      <c r="E1179" s="869" t="s">
        <v>1825</v>
      </c>
      <c r="F1179" s="879">
        <f>[2]Hoja1!$B$119</f>
        <v>0.18272496473906913</v>
      </c>
      <c r="G1179" s="869" t="s">
        <v>974</v>
      </c>
      <c r="H1179" s="869" t="s">
        <v>1176</v>
      </c>
      <c r="I1179" s="869"/>
      <c r="J1179" s="869" t="s">
        <v>516</v>
      </c>
      <c r="K1179" s="880" t="s">
        <v>2264</v>
      </c>
    </row>
    <row r="1180" spans="1:11" s="866" customFormat="1" ht="28.8" x14ac:dyDescent="0.3">
      <c r="A1180" s="869" t="s">
        <v>2118</v>
      </c>
      <c r="B1180" s="881">
        <f>'[1]PLAN DE DESARROLLO 2024 - 2027'!$M$161</f>
        <v>0.24647581985093744</v>
      </c>
      <c r="C1180" s="869" t="s">
        <v>2120</v>
      </c>
      <c r="D1180" s="878">
        <f>'[1]PLAN DE DESARROLLO 2024 - 2027'!$M$166</f>
        <v>0.23451309458253802</v>
      </c>
      <c r="E1180" s="869" t="s">
        <v>1825</v>
      </c>
      <c r="F1180" s="879">
        <f>[2]Hoja1!$B$119</f>
        <v>0.18272496473906913</v>
      </c>
      <c r="G1180" s="869" t="s">
        <v>976</v>
      </c>
      <c r="H1180" s="869" t="s">
        <v>1177</v>
      </c>
      <c r="I1180" s="869"/>
      <c r="J1180" s="869" t="s">
        <v>516</v>
      </c>
      <c r="K1180" s="880" t="s">
        <v>2264</v>
      </c>
    </row>
    <row r="1181" spans="1:11" s="866" customFormat="1" ht="28.8" x14ac:dyDescent="0.3">
      <c r="A1181" s="869" t="s">
        <v>2118</v>
      </c>
      <c r="B1181" s="881">
        <f>'[1]PLAN DE DESARROLLO 2024 - 2027'!$M$161</f>
        <v>0.24647581985093744</v>
      </c>
      <c r="C1181" s="869" t="s">
        <v>2120</v>
      </c>
      <c r="D1181" s="878">
        <f>'[1]PLAN DE DESARROLLO 2024 - 2027'!$M$166</f>
        <v>0.23451309458253802</v>
      </c>
      <c r="E1181" s="869" t="s">
        <v>1825</v>
      </c>
      <c r="F1181" s="879">
        <f>[2]Hoja1!$B$119</f>
        <v>0.18272496473906913</v>
      </c>
      <c r="G1181" s="869" t="s">
        <v>977</v>
      </c>
      <c r="H1181" s="869" t="s">
        <v>1178</v>
      </c>
      <c r="I1181" s="869"/>
      <c r="J1181" s="869" t="s">
        <v>516</v>
      </c>
      <c r="K1181" s="880" t="s">
        <v>2264</v>
      </c>
    </row>
    <row r="1182" spans="1:11" s="866" customFormat="1" ht="28.8" x14ac:dyDescent="0.3">
      <c r="A1182" s="869" t="s">
        <v>2025</v>
      </c>
      <c r="B1182" s="881">
        <f>'[1]PLAN DE DESARROLLO 2024 - 2027'!$M$123</f>
        <v>0.20174333228533195</v>
      </c>
      <c r="C1182" s="869" t="s">
        <v>2052</v>
      </c>
      <c r="D1182" s="878">
        <f>'[1]PLAN DE DESARROLLO 2024 - 2027'!$M$127</f>
        <v>0.32068750000000001</v>
      </c>
      <c r="E1182" s="869" t="s">
        <v>2053</v>
      </c>
      <c r="F1182" s="879">
        <f>[2]Hoja1!$B$133</f>
        <v>0.375</v>
      </c>
      <c r="G1182" s="869" t="s">
        <v>822</v>
      </c>
      <c r="H1182" s="869" t="s">
        <v>1281</v>
      </c>
      <c r="I1182" s="869"/>
      <c r="J1182" s="869" t="s">
        <v>560</v>
      </c>
      <c r="K1182" s="880" t="s">
        <v>2264</v>
      </c>
    </row>
    <row r="1183" spans="1:11" s="866" customFormat="1" ht="28.8" x14ac:dyDescent="0.3">
      <c r="A1183" s="869" t="s">
        <v>2025</v>
      </c>
      <c r="B1183" s="881">
        <f>'[1]PLAN DE DESARROLLO 2024 - 2027'!$M$123</f>
        <v>0.20174333228533195</v>
      </c>
      <c r="C1183" s="869" t="s">
        <v>2052</v>
      </c>
      <c r="D1183" s="878">
        <f>'[1]PLAN DE DESARROLLO 2024 - 2027'!$M$127</f>
        <v>0.32068750000000001</v>
      </c>
      <c r="E1183" s="869" t="s">
        <v>2053</v>
      </c>
      <c r="F1183" s="879">
        <f>[2]Hoja1!$B$133</f>
        <v>0.375</v>
      </c>
      <c r="G1183" s="869" t="s">
        <v>823</v>
      </c>
      <c r="H1183" s="869" t="s">
        <v>1282</v>
      </c>
      <c r="I1183" s="869"/>
      <c r="J1183" s="869" t="s">
        <v>560</v>
      </c>
      <c r="K1183" s="880" t="s">
        <v>2264</v>
      </c>
    </row>
    <row r="1184" spans="1:11" s="866" customFormat="1" ht="28.8" x14ac:dyDescent="0.3">
      <c r="A1184" s="869" t="s">
        <v>2025</v>
      </c>
      <c r="B1184" s="881">
        <f>'[1]PLAN DE DESARROLLO 2024 - 2027'!$M$123</f>
        <v>0.20174333228533195</v>
      </c>
      <c r="C1184" s="869" t="s">
        <v>2052</v>
      </c>
      <c r="D1184" s="878">
        <f>'[1]PLAN DE DESARROLLO 2024 - 2027'!$M$127</f>
        <v>0.32068750000000001</v>
      </c>
      <c r="E1184" s="869" t="s">
        <v>2053</v>
      </c>
      <c r="F1184" s="879">
        <f>[2]Hoja1!$B$133</f>
        <v>0.375</v>
      </c>
      <c r="G1184" s="869" t="s">
        <v>824</v>
      </c>
      <c r="H1184" s="869" t="s">
        <v>1283</v>
      </c>
      <c r="I1184" s="869"/>
      <c r="J1184" s="869" t="s">
        <v>825</v>
      </c>
      <c r="K1184" s="880" t="s">
        <v>2264</v>
      </c>
    </row>
    <row r="1185" spans="1:16" s="866" customFormat="1" ht="28.8" x14ac:dyDescent="0.3">
      <c r="A1185" s="869" t="s">
        <v>2025</v>
      </c>
      <c r="B1185" s="881">
        <f>'[1]PLAN DE DESARROLLO 2024 - 2027'!$M$123</f>
        <v>0.20174333228533195</v>
      </c>
      <c r="C1185" s="869" t="s">
        <v>2052</v>
      </c>
      <c r="D1185" s="878">
        <f>'[1]PLAN DE DESARROLLO 2024 - 2027'!$M$127</f>
        <v>0.32068750000000001</v>
      </c>
      <c r="E1185" s="869" t="s">
        <v>2053</v>
      </c>
      <c r="F1185" s="879">
        <f>[2]Hoja1!$B$133</f>
        <v>0.375</v>
      </c>
      <c r="G1185" s="869" t="s">
        <v>826</v>
      </c>
      <c r="H1185" s="869" t="s">
        <v>1284</v>
      </c>
      <c r="I1185" s="869"/>
      <c r="J1185" s="869" t="s">
        <v>560</v>
      </c>
      <c r="K1185" s="880" t="s">
        <v>2264</v>
      </c>
    </row>
    <row r="1186" spans="1:16" s="866" customFormat="1" ht="28.8" x14ac:dyDescent="0.3">
      <c r="A1186" s="869" t="s">
        <v>2025</v>
      </c>
      <c r="B1186" s="881">
        <f>'[1]PLAN DE DESARROLLO 2024 - 2027'!$M$123</f>
        <v>0.20174333228533195</v>
      </c>
      <c r="C1186" s="869" t="s">
        <v>2031</v>
      </c>
      <c r="D1186" s="883">
        <f>'[1]PLAN DE DESARROLLO 2024 - 2027'!$M$147</f>
        <v>0.1413865782697985</v>
      </c>
      <c r="E1186" s="869" t="s">
        <v>2032</v>
      </c>
      <c r="F1186" s="879">
        <f>[2]Hoja1!$B$96</f>
        <v>0</v>
      </c>
      <c r="G1186" s="869" t="s">
        <v>886</v>
      </c>
      <c r="H1186" s="869" t="s">
        <v>1330</v>
      </c>
      <c r="I1186" s="869"/>
      <c r="J1186" s="869" t="s">
        <v>825</v>
      </c>
      <c r="K1186" s="880" t="s">
        <v>2264</v>
      </c>
    </row>
    <row r="1187" spans="1:16" s="866" customFormat="1" ht="28.8" x14ac:dyDescent="0.3">
      <c r="A1187" s="869" t="s">
        <v>2025</v>
      </c>
      <c r="B1187" s="881">
        <f>'[1]PLAN DE DESARROLLO 2024 - 2027'!$M$123</f>
        <v>0.20174333228533195</v>
      </c>
      <c r="C1187" s="869" t="s">
        <v>2031</v>
      </c>
      <c r="D1187" s="883">
        <f>'[1]PLAN DE DESARROLLO 2024 - 2027'!$M$147</f>
        <v>0.1413865782697985</v>
      </c>
      <c r="E1187" s="869" t="s">
        <v>2037</v>
      </c>
      <c r="F1187" s="879">
        <f>[2]Hoja1!$B$111</f>
        <v>0.27791111632027071</v>
      </c>
      <c r="G1187" s="869" t="s">
        <v>895</v>
      </c>
      <c r="H1187" s="869" t="s">
        <v>1338</v>
      </c>
      <c r="I1187" s="869"/>
      <c r="J1187" s="869" t="s">
        <v>48</v>
      </c>
      <c r="K1187" s="880" t="s">
        <v>2264</v>
      </c>
    </row>
    <row r="1188" spans="1:16" s="866" customFormat="1" ht="28.8" x14ac:dyDescent="0.3">
      <c r="A1188" s="869" t="s">
        <v>2025</v>
      </c>
      <c r="B1188" s="881">
        <f>'[1]PLAN DE DESARROLLO 2024 - 2027'!$M$123</f>
        <v>0.20174333228533195</v>
      </c>
      <c r="C1188" s="869" t="s">
        <v>2031</v>
      </c>
      <c r="D1188" s="883">
        <f>'[1]PLAN DE DESARROLLO 2024 - 2027'!$M$147</f>
        <v>0.1413865782697985</v>
      </c>
      <c r="E1188" s="869" t="s">
        <v>2037</v>
      </c>
      <c r="F1188" s="879">
        <f>[2]Hoja1!$B$111</f>
        <v>0.27791111632027071</v>
      </c>
      <c r="G1188" s="869" t="s">
        <v>896</v>
      </c>
      <c r="H1188" s="869" t="s">
        <v>1536</v>
      </c>
      <c r="I1188" s="869"/>
      <c r="J1188" s="869" t="s">
        <v>48</v>
      </c>
      <c r="K1188" s="880" t="s">
        <v>2264</v>
      </c>
    </row>
    <row r="1189" spans="1:16" s="866" customFormat="1" ht="28.8" x14ac:dyDescent="0.3">
      <c r="A1189" s="869" t="s">
        <v>2025</v>
      </c>
      <c r="B1189" s="881">
        <f>'[1]PLAN DE DESARROLLO 2024 - 2027'!$M$123</f>
        <v>0.20174333228533195</v>
      </c>
      <c r="C1189" s="869" t="s">
        <v>2031</v>
      </c>
      <c r="D1189" s="883">
        <f>'[1]PLAN DE DESARROLLO 2024 - 2027'!$M$147</f>
        <v>0.1413865782697985</v>
      </c>
      <c r="E1189" s="869" t="s">
        <v>2037</v>
      </c>
      <c r="F1189" s="879">
        <f>[2]Hoja1!$B$111</f>
        <v>0.27791111632027071</v>
      </c>
      <c r="G1189" s="869" t="s">
        <v>897</v>
      </c>
      <c r="H1189" s="869" t="s">
        <v>1339</v>
      </c>
      <c r="I1189" s="869"/>
      <c r="J1189" s="869" t="s">
        <v>2038</v>
      </c>
      <c r="K1189" s="880" t="s">
        <v>2264</v>
      </c>
    </row>
    <row r="1190" spans="1:16" s="866" customFormat="1" ht="43.2" x14ac:dyDescent="0.3">
      <c r="A1190" s="869" t="s">
        <v>2151</v>
      </c>
      <c r="B1190" s="877">
        <f>'[1]PLAN DE DESARROLLO 2024 - 2027'!$M$4</f>
        <v>0.24028917333263158</v>
      </c>
      <c r="C1190" s="869" t="s">
        <v>2157</v>
      </c>
      <c r="D1190" s="878">
        <f>'[1]PLAN DE DESARROLLO 2024 - 2027'!$M$20</f>
        <v>0.2170625911038922</v>
      </c>
      <c r="E1190" s="869" t="s">
        <v>1629</v>
      </c>
      <c r="F1190" s="879">
        <f>[2]Hoja1!$B$139</f>
        <v>0.25787869115937234</v>
      </c>
      <c r="G1190" s="869" t="s">
        <v>202</v>
      </c>
      <c r="H1190" s="869" t="s">
        <v>203</v>
      </c>
      <c r="I1190" s="869"/>
      <c r="J1190" s="869" t="s">
        <v>162</v>
      </c>
      <c r="K1190" s="880" t="s">
        <v>2264</v>
      </c>
    </row>
    <row r="1191" spans="1:16" s="866" customFormat="1" ht="57.6" x14ac:dyDescent="0.3">
      <c r="A1191" s="869" t="s">
        <v>2151</v>
      </c>
      <c r="B1191" s="877">
        <f>'[1]PLAN DE DESARROLLO 2024 - 2027'!$M$4</f>
        <v>0.24028917333263158</v>
      </c>
      <c r="C1191" s="869" t="s">
        <v>2157</v>
      </c>
      <c r="D1191" s="878">
        <f>'[1]PLAN DE DESARROLLO 2024 - 2027'!$M$20</f>
        <v>0.2170625911038922</v>
      </c>
      <c r="E1191" s="869" t="s">
        <v>1629</v>
      </c>
      <c r="F1191" s="879">
        <f>[2]Hoja1!$B$139</f>
        <v>0.25787869115937234</v>
      </c>
      <c r="G1191" s="869" t="s">
        <v>204</v>
      </c>
      <c r="H1191" s="869" t="s">
        <v>205</v>
      </c>
      <c r="I1191" s="869"/>
      <c r="J1191" s="869" t="s">
        <v>162</v>
      </c>
      <c r="K1191" s="880" t="s">
        <v>2264</v>
      </c>
    </row>
    <row r="1192" spans="1:16" s="866" customFormat="1" ht="43.2" x14ac:dyDescent="0.3">
      <c r="A1192" s="869" t="s">
        <v>2151</v>
      </c>
      <c r="B1192" s="877">
        <f>'[1]PLAN DE DESARROLLO 2024 - 2027'!$M$4</f>
        <v>0.24028917333263158</v>
      </c>
      <c r="C1192" s="869" t="s">
        <v>2157</v>
      </c>
      <c r="D1192" s="878">
        <f>'[1]PLAN DE DESARROLLO 2024 - 2027'!$M$20</f>
        <v>0.2170625911038922</v>
      </c>
      <c r="E1192" s="869" t="s">
        <v>1629</v>
      </c>
      <c r="F1192" s="879">
        <f>[2]Hoja1!$B$139</f>
        <v>0.25787869115937234</v>
      </c>
      <c r="G1192" s="869" t="s">
        <v>206</v>
      </c>
      <c r="H1192" s="869" t="s">
        <v>207</v>
      </c>
      <c r="I1192" s="869"/>
      <c r="J1192" s="869" t="s">
        <v>162</v>
      </c>
      <c r="K1192" s="880" t="s">
        <v>2264</v>
      </c>
    </row>
    <row r="1193" spans="1:16" s="866" customFormat="1" ht="43.2" x14ac:dyDescent="0.3">
      <c r="A1193" s="869" t="s">
        <v>2151</v>
      </c>
      <c r="B1193" s="877">
        <f>'[1]PLAN DE DESARROLLO 2024 - 2027'!$M$4</f>
        <v>0.24028917333263158</v>
      </c>
      <c r="C1193" s="869" t="s">
        <v>2157</v>
      </c>
      <c r="D1193" s="878">
        <f>'[1]PLAN DE DESARROLLO 2024 - 2027'!$M$20</f>
        <v>0.2170625911038922</v>
      </c>
      <c r="E1193" s="869" t="s">
        <v>1629</v>
      </c>
      <c r="F1193" s="879">
        <f>[2]Hoja1!$B$139</f>
        <v>0.25787869115937234</v>
      </c>
      <c r="G1193" s="869" t="s">
        <v>208</v>
      </c>
      <c r="H1193" s="869" t="s">
        <v>209</v>
      </c>
      <c r="I1193" s="869"/>
      <c r="J1193" s="869" t="s">
        <v>162</v>
      </c>
      <c r="K1193" s="880" t="s">
        <v>2264</v>
      </c>
    </row>
    <row r="1194" spans="1:16" s="866" customFormat="1" ht="57.6" x14ac:dyDescent="0.3">
      <c r="A1194" s="869" t="s">
        <v>2151</v>
      </c>
      <c r="B1194" s="877">
        <f>'[1]PLAN DE DESARROLLO 2024 - 2027'!$M$4</f>
        <v>0.24028917333263158</v>
      </c>
      <c r="C1194" s="869" t="s">
        <v>2157</v>
      </c>
      <c r="D1194" s="878">
        <f>'[1]PLAN DE DESARROLLO 2024 - 2027'!$M$20</f>
        <v>0.2170625911038922</v>
      </c>
      <c r="E1194" s="869" t="s">
        <v>1629</v>
      </c>
      <c r="F1194" s="879">
        <f>[2]Hoja1!$B$139</f>
        <v>0.25787869115937234</v>
      </c>
      <c r="G1194" s="869" t="s">
        <v>210</v>
      </c>
      <c r="H1194" s="869" t="s">
        <v>211</v>
      </c>
      <c r="I1194" s="869"/>
      <c r="J1194" s="869" t="s">
        <v>162</v>
      </c>
      <c r="K1194" s="880" t="s">
        <v>2264</v>
      </c>
      <c r="P1194" s="867"/>
    </row>
    <row r="1195" spans="1:16" s="866" customFormat="1" ht="57.6" x14ac:dyDescent="0.3">
      <c r="A1195" s="869" t="s">
        <v>2151</v>
      </c>
      <c r="B1195" s="877">
        <f>'[1]PLAN DE DESARROLLO 2024 - 2027'!$M$4</f>
        <v>0.24028917333263158</v>
      </c>
      <c r="C1195" s="869" t="s">
        <v>2157</v>
      </c>
      <c r="D1195" s="878">
        <f>'[1]PLAN DE DESARROLLO 2024 - 2027'!$M$20</f>
        <v>0.2170625911038922</v>
      </c>
      <c r="E1195" s="869" t="s">
        <v>1629</v>
      </c>
      <c r="F1195" s="879">
        <f>[2]Hoja1!$B$139</f>
        <v>0.25787869115937234</v>
      </c>
      <c r="G1195" s="869" t="s">
        <v>212</v>
      </c>
      <c r="H1195" s="869" t="s">
        <v>213</v>
      </c>
      <c r="I1195" s="869"/>
      <c r="J1195" s="869" t="s">
        <v>162</v>
      </c>
      <c r="K1195" s="880" t="s">
        <v>2264</v>
      </c>
      <c r="P1195" s="867"/>
    </row>
    <row r="1196" spans="1:16" s="866" customFormat="1" ht="28.8" x14ac:dyDescent="0.3">
      <c r="A1196" s="869" t="s">
        <v>2118</v>
      </c>
      <c r="B1196" s="881">
        <f>'[1]PLAN DE DESARROLLO 2024 - 2027'!$M$161</f>
        <v>0.24647581985093744</v>
      </c>
      <c r="C1196" s="869" t="s">
        <v>2142</v>
      </c>
      <c r="D1196" s="878">
        <f>'[1]PLAN DE DESARROLLO 2024 - 2027'!$M$191</f>
        <v>0.22981556695992181</v>
      </c>
      <c r="E1196" s="869" t="s">
        <v>2147</v>
      </c>
      <c r="F1196" s="879">
        <f>[2]Hoja1!$B$122</f>
        <v>0.29333333333333333</v>
      </c>
      <c r="G1196" s="869" t="s">
        <v>1056</v>
      </c>
      <c r="H1196" s="869" t="s">
        <v>1253</v>
      </c>
      <c r="I1196" s="869"/>
      <c r="J1196" s="869" t="s">
        <v>560</v>
      </c>
      <c r="K1196" s="880" t="s">
        <v>2264</v>
      </c>
      <c r="P1196" s="867"/>
    </row>
    <row r="1197" spans="1:16" s="866" customFormat="1" ht="28.8" x14ac:dyDescent="0.3">
      <c r="A1197" s="869" t="s">
        <v>2118</v>
      </c>
      <c r="B1197" s="881">
        <f>'[1]PLAN DE DESARROLLO 2024 - 2027'!$M$161</f>
        <v>0.24647581985093744</v>
      </c>
      <c r="C1197" s="869" t="s">
        <v>2142</v>
      </c>
      <c r="D1197" s="878">
        <f>'[1]PLAN DE DESARROLLO 2024 - 2027'!$M$191</f>
        <v>0.22981556695992181</v>
      </c>
      <c r="E1197" s="869" t="s">
        <v>2147</v>
      </c>
      <c r="F1197" s="879">
        <f>[2]Hoja1!$B$122</f>
        <v>0.29333333333333333</v>
      </c>
      <c r="G1197" s="869" t="s">
        <v>1057</v>
      </c>
      <c r="H1197" s="869" t="s">
        <v>1254</v>
      </c>
      <c r="I1197" s="869"/>
      <c r="J1197" s="869" t="s">
        <v>560</v>
      </c>
      <c r="K1197" s="880" t="s">
        <v>2264</v>
      </c>
      <c r="P1197" s="867"/>
    </row>
    <row r="1198" spans="1:16" s="866" customFormat="1" ht="28.8" x14ac:dyDescent="0.3">
      <c r="A1198" s="869" t="s">
        <v>2118</v>
      </c>
      <c r="B1198" s="881">
        <f>'[1]PLAN DE DESARROLLO 2024 - 2027'!$M$161</f>
        <v>0.24647581985093744</v>
      </c>
      <c r="C1198" s="869" t="s">
        <v>2126</v>
      </c>
      <c r="D1198" s="878">
        <f>'[1]PLAN DE DESARROLLO 2024 - 2027'!$M$184</f>
        <v>0.18265127235728812</v>
      </c>
      <c r="E1198" s="869" t="s">
        <v>1833</v>
      </c>
      <c r="F1198" s="879">
        <f>[2]Hoja1!$B$123</f>
        <v>0</v>
      </c>
      <c r="G1198" s="869" t="s">
        <v>1024</v>
      </c>
      <c r="H1198" s="869" t="s">
        <v>1222</v>
      </c>
      <c r="I1198" s="869"/>
      <c r="J1198" s="869" t="s">
        <v>2127</v>
      </c>
      <c r="K1198" s="880" t="s">
        <v>2264</v>
      </c>
      <c r="P1198" s="867"/>
    </row>
    <row r="1199" spans="1:16" s="866" customFormat="1" ht="27.75" customHeight="1" x14ac:dyDescent="0.3">
      <c r="A1199" s="869" t="s">
        <v>2118</v>
      </c>
      <c r="B1199" s="881">
        <f>'[1]PLAN DE DESARROLLO 2024 - 2027'!$M$161</f>
        <v>0.24647581985093744</v>
      </c>
      <c r="C1199" s="869" t="s">
        <v>2119</v>
      </c>
      <c r="D1199" s="878">
        <f>'[1]PLAN DE DESARROLLO 2024 - 2027'!$M$162</f>
        <v>0.208125</v>
      </c>
      <c r="E1199" s="869" t="s">
        <v>1820</v>
      </c>
      <c r="F1199" s="879">
        <f>[2]Hoja1!$B$124</f>
        <v>8.7499999999999991E-3</v>
      </c>
      <c r="G1199" s="869" t="s">
        <v>955</v>
      </c>
      <c r="H1199" s="869" t="s">
        <v>1161</v>
      </c>
      <c r="I1199" s="869"/>
      <c r="J1199" s="869" t="s">
        <v>516</v>
      </c>
      <c r="K1199" s="880" t="s">
        <v>2264</v>
      </c>
      <c r="P1199" s="867"/>
    </row>
    <row r="1200" spans="1:16" s="866" customFormat="1" ht="28.8" x14ac:dyDescent="0.3">
      <c r="A1200" s="869" t="s">
        <v>2118</v>
      </c>
      <c r="B1200" s="881">
        <f>'[1]PLAN DE DESARROLLO 2024 - 2027'!$M$161</f>
        <v>0.24647581985093744</v>
      </c>
      <c r="C1200" s="869" t="s">
        <v>2119</v>
      </c>
      <c r="D1200" s="878">
        <f>'[1]PLAN DE DESARROLLO 2024 - 2027'!$M$162</f>
        <v>0.208125</v>
      </c>
      <c r="E1200" s="869" t="s">
        <v>1820</v>
      </c>
      <c r="F1200" s="879">
        <f>[2]Hoja1!$B$124</f>
        <v>8.7499999999999991E-3</v>
      </c>
      <c r="G1200" s="869" t="s">
        <v>956</v>
      </c>
      <c r="H1200" s="869" t="s">
        <v>1162</v>
      </c>
      <c r="I1200" s="869"/>
      <c r="J1200" s="869" t="s">
        <v>516</v>
      </c>
      <c r="K1200" s="880" t="s">
        <v>2264</v>
      </c>
      <c r="P1200" s="867"/>
    </row>
    <row r="1201" spans="1:16" s="866" customFormat="1" ht="28.8" x14ac:dyDescent="0.3">
      <c r="A1201" s="869" t="s">
        <v>2118</v>
      </c>
      <c r="B1201" s="881">
        <f>'[1]PLAN DE DESARROLLO 2024 - 2027'!$M$161</f>
        <v>0.24647581985093744</v>
      </c>
      <c r="C1201" s="869" t="s">
        <v>2119</v>
      </c>
      <c r="D1201" s="878">
        <f>'[1]PLAN DE DESARROLLO 2024 - 2027'!$M$162</f>
        <v>0.208125</v>
      </c>
      <c r="E1201" s="869" t="s">
        <v>1820</v>
      </c>
      <c r="F1201" s="879">
        <f>[2]Hoja1!$B$124</f>
        <v>8.7499999999999991E-3</v>
      </c>
      <c r="G1201" s="869" t="s">
        <v>957</v>
      </c>
      <c r="H1201" s="869" t="s">
        <v>1163</v>
      </c>
      <c r="I1201" s="869"/>
      <c r="J1201" s="869" t="s">
        <v>516</v>
      </c>
      <c r="K1201" s="880" t="s">
        <v>2264</v>
      </c>
      <c r="P1201" s="867"/>
    </row>
    <row r="1202" spans="1:16" s="866" customFormat="1" ht="57.6" x14ac:dyDescent="0.3">
      <c r="A1202" s="869" t="s">
        <v>2205</v>
      </c>
      <c r="B1202" s="877">
        <f>'[1]PLAN DE DESARROLLO 2024 - 2027'!$M$46</f>
        <v>0.25251661967012345</v>
      </c>
      <c r="C1202" s="869" t="s">
        <v>2206</v>
      </c>
      <c r="D1202" s="878">
        <f>'[1]PLAN DE DESARROLLO 2024 - 2027'!$M$47</f>
        <v>0.26592582694462413</v>
      </c>
      <c r="E1202" s="869" t="s">
        <v>1651</v>
      </c>
      <c r="F1202" s="879">
        <f>[2]Hoja1!$B$159</f>
        <v>0.15592630718954248</v>
      </c>
      <c r="G1202" s="869" t="s">
        <v>2229</v>
      </c>
      <c r="H1202" s="869" t="s">
        <v>2230</v>
      </c>
      <c r="I1202" s="869"/>
      <c r="J1202" s="869" t="s">
        <v>2207</v>
      </c>
      <c r="K1202" s="880" t="s">
        <v>2264</v>
      </c>
      <c r="P1202" s="867"/>
    </row>
    <row r="1203" spans="1:16" s="866" customFormat="1" ht="28.8" x14ac:dyDescent="0.3">
      <c r="A1203" s="869" t="s">
        <v>2205</v>
      </c>
      <c r="B1203" s="877">
        <f>'[1]PLAN DE DESARROLLO 2024 - 2027'!$M$46</f>
        <v>0.25251661967012345</v>
      </c>
      <c r="C1203" s="869" t="s">
        <v>2206</v>
      </c>
      <c r="D1203" s="878">
        <f>'[1]PLAN DE DESARROLLO 2024 - 2027'!$M$47</f>
        <v>0.26592582694462413</v>
      </c>
      <c r="E1203" s="869" t="s">
        <v>1651</v>
      </c>
      <c r="F1203" s="879">
        <f>[2]Hoja1!$B$159</f>
        <v>0.15592630718954248</v>
      </c>
      <c r="G1203" s="869" t="s">
        <v>448</v>
      </c>
      <c r="H1203" s="869" t="s">
        <v>449</v>
      </c>
      <c r="I1203" s="869"/>
      <c r="J1203" s="869" t="s">
        <v>2207</v>
      </c>
      <c r="K1203" s="880" t="s">
        <v>2264</v>
      </c>
      <c r="P1203" s="867"/>
    </row>
    <row r="1204" spans="1:16" s="866" customFormat="1" ht="43.2" x14ac:dyDescent="0.3">
      <c r="A1204" s="869" t="s">
        <v>2076</v>
      </c>
      <c r="B1204" s="881">
        <f>'[1]PLAN DE DESARROLLO 2024 - 2027'!$M$92</f>
        <v>0.25050860314981654</v>
      </c>
      <c r="C1204" s="869" t="s">
        <v>2094</v>
      </c>
      <c r="D1204" s="878">
        <f>'[1]PLAN DE DESARROLLO 2024 - 2027'!$M$120</f>
        <v>0.19011249999999999</v>
      </c>
      <c r="E1204" s="869" t="s">
        <v>2095</v>
      </c>
      <c r="F1204" s="879">
        <f>[2]Hoja1!$B$58</f>
        <v>9.4384999999999997E-2</v>
      </c>
      <c r="G1204" s="869" t="s">
        <v>708</v>
      </c>
      <c r="H1204" s="869" t="s">
        <v>1412</v>
      </c>
      <c r="I1204" s="869"/>
      <c r="J1204" s="869" t="s">
        <v>58</v>
      </c>
      <c r="K1204" s="880" t="s">
        <v>2264</v>
      </c>
      <c r="P1204" s="867"/>
    </row>
    <row r="1205" spans="1:16" s="866" customFormat="1" ht="43.2" x14ac:dyDescent="0.3">
      <c r="A1205" s="869" t="s">
        <v>2076</v>
      </c>
      <c r="B1205" s="881">
        <f>'[1]PLAN DE DESARROLLO 2024 - 2027'!$M$92</f>
        <v>0.25050860314981654</v>
      </c>
      <c r="C1205" s="869" t="s">
        <v>2094</v>
      </c>
      <c r="D1205" s="878">
        <f>'[1]PLAN DE DESARROLLO 2024 - 2027'!$M$120</f>
        <v>0.19011249999999999</v>
      </c>
      <c r="E1205" s="869" t="s">
        <v>2095</v>
      </c>
      <c r="F1205" s="879">
        <f>[2]Hoja1!$B$58</f>
        <v>9.4384999999999997E-2</v>
      </c>
      <c r="G1205" s="869" t="s">
        <v>709</v>
      </c>
      <c r="H1205" s="869" t="s">
        <v>1413</v>
      </c>
      <c r="I1205" s="869"/>
      <c r="J1205" s="869" t="s">
        <v>683</v>
      </c>
      <c r="K1205" s="880" t="s">
        <v>2264</v>
      </c>
      <c r="P1205" s="867"/>
    </row>
    <row r="1206" spans="1:16" s="866" customFormat="1" ht="43.2" x14ac:dyDescent="0.3">
      <c r="A1206" s="869" t="s">
        <v>2076</v>
      </c>
      <c r="B1206" s="881">
        <f>'[1]PLAN DE DESARROLLO 2024 - 2027'!$M$92</f>
        <v>0.25050860314981654</v>
      </c>
      <c r="C1206" s="869" t="s">
        <v>2094</v>
      </c>
      <c r="D1206" s="878">
        <f>'[1]PLAN DE DESARROLLO 2024 - 2027'!$M$120</f>
        <v>0.19011249999999999</v>
      </c>
      <c r="E1206" s="869" t="s">
        <v>2095</v>
      </c>
      <c r="F1206" s="879">
        <f>[2]Hoja1!$B$58</f>
        <v>9.4384999999999997E-2</v>
      </c>
      <c r="G1206" s="869" t="s">
        <v>710</v>
      </c>
      <c r="H1206" s="869" t="s">
        <v>1414</v>
      </c>
      <c r="I1206" s="869"/>
      <c r="J1206" s="869" t="s">
        <v>683</v>
      </c>
      <c r="K1206" s="880" t="s">
        <v>2264</v>
      </c>
      <c r="P1206" s="867"/>
    </row>
    <row r="1207" spans="1:16" s="866" customFormat="1" ht="28.8" x14ac:dyDescent="0.3">
      <c r="A1207" s="869" t="s">
        <v>2076</v>
      </c>
      <c r="B1207" s="881">
        <f>'[1]PLAN DE DESARROLLO 2024 - 2027'!$M$92</f>
        <v>0.25050860314981654</v>
      </c>
      <c r="C1207" s="869" t="s">
        <v>2094</v>
      </c>
      <c r="D1207" s="878">
        <f>'[1]PLAN DE DESARROLLO 2024 - 2027'!$M$120</f>
        <v>0.19011249999999999</v>
      </c>
      <c r="E1207" s="869" t="s">
        <v>2095</v>
      </c>
      <c r="F1207" s="879">
        <f>[2]Hoja1!$B$58</f>
        <v>9.4384999999999997E-2</v>
      </c>
      <c r="G1207" s="869" t="s">
        <v>711</v>
      </c>
      <c r="H1207" s="869" t="s">
        <v>1415</v>
      </c>
      <c r="I1207" s="869"/>
      <c r="J1207" s="869" t="s">
        <v>683</v>
      </c>
      <c r="K1207" s="880" t="s">
        <v>2264</v>
      </c>
      <c r="P1207" s="867"/>
    </row>
    <row r="1208" spans="1:16" s="866" customFormat="1" ht="28.8" x14ac:dyDescent="0.3">
      <c r="A1208" s="869" t="s">
        <v>2118</v>
      </c>
      <c r="B1208" s="881">
        <f>'[1]PLAN DE DESARROLLO 2024 - 2027'!$M$161</f>
        <v>0.24647581985093744</v>
      </c>
      <c r="C1208" s="869" t="s">
        <v>2126</v>
      </c>
      <c r="D1208" s="878">
        <f>'[1]PLAN DE DESARROLLO 2024 - 2027'!$M$184</f>
        <v>0.18265127235728812</v>
      </c>
      <c r="E1208" s="869" t="s">
        <v>2140</v>
      </c>
      <c r="F1208" s="879">
        <f>[2]Hoja1!$B$127</f>
        <v>0.23778749999999998</v>
      </c>
      <c r="G1208" s="869" t="s">
        <v>1030</v>
      </c>
      <c r="H1208" s="869" t="s">
        <v>1227</v>
      </c>
      <c r="I1208" s="869"/>
      <c r="J1208" s="869" t="s">
        <v>58</v>
      </c>
      <c r="K1208" s="880" t="s">
        <v>2264</v>
      </c>
      <c r="P1208" s="867"/>
    </row>
    <row r="1209" spans="1:16" s="866" customFormat="1" ht="28.8" x14ac:dyDescent="0.3">
      <c r="A1209" s="869" t="s">
        <v>2118</v>
      </c>
      <c r="B1209" s="881">
        <f>'[1]PLAN DE DESARROLLO 2024 - 2027'!$M$161</f>
        <v>0.24647581985093744</v>
      </c>
      <c r="C1209" s="869" t="s">
        <v>2126</v>
      </c>
      <c r="D1209" s="878">
        <f>'[1]PLAN DE DESARROLLO 2024 - 2027'!$M$184</f>
        <v>0.18265127235728812</v>
      </c>
      <c r="E1209" s="869" t="s">
        <v>2140</v>
      </c>
      <c r="F1209" s="879">
        <f>[2]Hoja1!$B$127</f>
        <v>0.23778749999999998</v>
      </c>
      <c r="G1209" s="869" t="s">
        <v>1031</v>
      </c>
      <c r="H1209" s="869" t="s">
        <v>1228</v>
      </c>
      <c r="I1209" s="869"/>
      <c r="J1209" s="869" t="s">
        <v>58</v>
      </c>
      <c r="K1209" s="880" t="s">
        <v>2264</v>
      </c>
      <c r="P1209" s="867"/>
    </row>
    <row r="1210" spans="1:16" s="866" customFormat="1" ht="28.8" x14ac:dyDescent="0.3">
      <c r="A1210" s="869" t="s">
        <v>2118</v>
      </c>
      <c r="B1210" s="881">
        <f>'[1]PLAN DE DESARROLLO 2024 - 2027'!$M$161</f>
        <v>0.24647581985093744</v>
      </c>
      <c r="C1210" s="869" t="s">
        <v>2126</v>
      </c>
      <c r="D1210" s="878">
        <f>'[1]PLAN DE DESARROLLO 2024 - 2027'!$M$184</f>
        <v>0.18265127235728812</v>
      </c>
      <c r="E1210" s="869" t="s">
        <v>2140</v>
      </c>
      <c r="F1210" s="879">
        <f>[2]Hoja1!$B$127</f>
        <v>0.23778749999999998</v>
      </c>
      <c r="G1210" s="869" t="s">
        <v>1032</v>
      </c>
      <c r="H1210" s="869" t="s">
        <v>1229</v>
      </c>
      <c r="I1210" s="869"/>
      <c r="J1210" s="869" t="s">
        <v>58</v>
      </c>
      <c r="K1210" s="880" t="s">
        <v>2264</v>
      </c>
      <c r="P1210" s="867"/>
    </row>
    <row r="1211" spans="1:16" s="866" customFormat="1" ht="28.8" x14ac:dyDescent="0.3">
      <c r="A1211" s="869" t="s">
        <v>2118</v>
      </c>
      <c r="B1211" s="881">
        <f>'[1]PLAN DE DESARROLLO 2024 - 2027'!$M$161</f>
        <v>0.24647581985093744</v>
      </c>
      <c r="C1211" s="869" t="s">
        <v>2126</v>
      </c>
      <c r="D1211" s="878">
        <f>'[1]PLAN DE DESARROLLO 2024 - 2027'!$M$184</f>
        <v>0.18265127235728812</v>
      </c>
      <c r="E1211" s="869" t="s">
        <v>2140</v>
      </c>
      <c r="F1211" s="879">
        <f>[2]Hoja1!$B$127</f>
        <v>0.23778749999999998</v>
      </c>
      <c r="G1211" s="869" t="s">
        <v>1033</v>
      </c>
      <c r="H1211" s="869" t="s">
        <v>1230</v>
      </c>
      <c r="I1211" s="869"/>
      <c r="J1211" s="869" t="s">
        <v>58</v>
      </c>
      <c r="K1211" s="880" t="s">
        <v>2264</v>
      </c>
      <c r="P1211" s="867"/>
    </row>
    <row r="1212" spans="1:16" s="866" customFormat="1" ht="28.8" x14ac:dyDescent="0.3">
      <c r="A1212" s="869" t="s">
        <v>2118</v>
      </c>
      <c r="B1212" s="881">
        <f>'[1]PLAN DE DESARROLLO 2024 - 2027'!$M$161</f>
        <v>0.24647581985093744</v>
      </c>
      <c r="C1212" s="869" t="s">
        <v>2126</v>
      </c>
      <c r="D1212" s="878">
        <f>'[1]PLAN DE DESARROLLO 2024 - 2027'!$M$184</f>
        <v>0.18265127235728812</v>
      </c>
      <c r="E1212" s="869" t="s">
        <v>2140</v>
      </c>
      <c r="F1212" s="879">
        <f>[2]Hoja1!$B$127</f>
        <v>0.23778749999999998</v>
      </c>
      <c r="G1212" s="869" t="s">
        <v>1034</v>
      </c>
      <c r="H1212" s="869" t="s">
        <v>1231</v>
      </c>
      <c r="I1212" s="869"/>
      <c r="J1212" s="869" t="s">
        <v>58</v>
      </c>
      <c r="K1212" s="880" t="s">
        <v>2264</v>
      </c>
      <c r="P1212" s="867"/>
    </row>
    <row r="1213" spans="1:16" s="866" customFormat="1" ht="28.8" x14ac:dyDescent="0.3">
      <c r="A1213" s="869" t="s">
        <v>2025</v>
      </c>
      <c r="B1213" s="881">
        <f>'[1]PLAN DE DESARROLLO 2024 - 2027'!$M$123</f>
        <v>0.20174333228533195</v>
      </c>
      <c r="C1213" s="869" t="s">
        <v>2031</v>
      </c>
      <c r="D1213" s="883">
        <f>'[1]PLAN DE DESARROLLO 2024 - 2027'!$M$147</f>
        <v>0.1413865782697985</v>
      </c>
      <c r="E1213" s="869" t="s">
        <v>2037</v>
      </c>
      <c r="F1213" s="879">
        <f>[2]Hoja1!$B$111</f>
        <v>0.27791111632027071</v>
      </c>
      <c r="G1213" s="869" t="s">
        <v>898</v>
      </c>
      <c r="H1213" s="869" t="s">
        <v>1340</v>
      </c>
      <c r="I1213" s="869"/>
      <c r="J1213" s="869" t="s">
        <v>48</v>
      </c>
      <c r="K1213" s="880" t="s">
        <v>2264</v>
      </c>
      <c r="P1213" s="867"/>
    </row>
    <row r="1214" spans="1:16" s="866" customFormat="1" ht="28.8" x14ac:dyDescent="0.3">
      <c r="A1214" s="869" t="s">
        <v>2025</v>
      </c>
      <c r="B1214" s="881">
        <f>'[1]PLAN DE DESARROLLO 2024 - 2027'!$M$123</f>
        <v>0.20174333228533195</v>
      </c>
      <c r="C1214" s="869" t="s">
        <v>2031</v>
      </c>
      <c r="D1214" s="883">
        <f>'[1]PLAN DE DESARROLLO 2024 - 2027'!$M$147</f>
        <v>0.1413865782697985</v>
      </c>
      <c r="E1214" s="869" t="s">
        <v>2037</v>
      </c>
      <c r="F1214" s="879">
        <f>[2]Hoja1!$B$111</f>
        <v>0.27791111632027071</v>
      </c>
      <c r="G1214" s="869" t="s">
        <v>899</v>
      </c>
      <c r="H1214" s="869" t="s">
        <v>1341</v>
      </c>
      <c r="I1214" s="869"/>
      <c r="J1214" s="869" t="s">
        <v>48</v>
      </c>
      <c r="K1214" s="880" t="s">
        <v>2264</v>
      </c>
      <c r="P1214" s="867"/>
    </row>
    <row r="1215" spans="1:16" s="866" customFormat="1" ht="28.8" x14ac:dyDescent="0.3">
      <c r="A1215" s="869" t="s">
        <v>2025</v>
      </c>
      <c r="B1215" s="881">
        <f>'[1]PLAN DE DESARROLLO 2024 - 2027'!$M$123</f>
        <v>0.20174333228533195</v>
      </c>
      <c r="C1215" s="869" t="s">
        <v>2031</v>
      </c>
      <c r="D1215" s="883">
        <f>'[1]PLAN DE DESARROLLO 2024 - 2027'!$M$147</f>
        <v>0.1413865782697985</v>
      </c>
      <c r="E1215" s="869" t="s">
        <v>2037</v>
      </c>
      <c r="F1215" s="879">
        <f>[2]Hoja1!$B$111</f>
        <v>0.27791111632027071</v>
      </c>
      <c r="G1215" s="869" t="s">
        <v>900</v>
      </c>
      <c r="H1215" s="869" t="s">
        <v>1342</v>
      </c>
      <c r="I1215" s="869"/>
      <c r="J1215" s="869" t="s">
        <v>48</v>
      </c>
      <c r="K1215" s="880" t="s">
        <v>2264</v>
      </c>
    </row>
    <row r="1216" spans="1:16" s="866" customFormat="1" ht="28.8" x14ac:dyDescent="0.3">
      <c r="A1216" s="869" t="s">
        <v>2025</v>
      </c>
      <c r="B1216" s="881">
        <f>'[1]PLAN DE DESARROLLO 2024 - 2027'!$M$123</f>
        <v>0.20174333228533195</v>
      </c>
      <c r="C1216" s="869" t="s">
        <v>2031</v>
      </c>
      <c r="D1216" s="883">
        <f>'[1]PLAN DE DESARROLLO 2024 - 2027'!$M$147</f>
        <v>0.1413865782697985</v>
      </c>
      <c r="E1216" s="869" t="s">
        <v>2037</v>
      </c>
      <c r="F1216" s="879">
        <f>[2]Hoja1!$B$111</f>
        <v>0.27791111632027071</v>
      </c>
      <c r="G1216" s="869" t="s">
        <v>901</v>
      </c>
      <c r="H1216" s="869" t="s">
        <v>1343</v>
      </c>
      <c r="I1216" s="869"/>
      <c r="J1216" s="869" t="s">
        <v>48</v>
      </c>
      <c r="K1216" s="880" t="s">
        <v>2264</v>
      </c>
    </row>
    <row r="1217" spans="1:11" s="866" customFormat="1" ht="28.8" x14ac:dyDescent="0.3">
      <c r="A1217" s="869" t="s">
        <v>2025</v>
      </c>
      <c r="B1217" s="881">
        <f>'[1]PLAN DE DESARROLLO 2024 - 2027'!$M$123</f>
        <v>0.20174333228533195</v>
      </c>
      <c r="C1217" s="869" t="s">
        <v>2031</v>
      </c>
      <c r="D1217" s="883">
        <f>'[1]PLAN DE DESARROLLO 2024 - 2027'!$M$147</f>
        <v>0.1413865782697985</v>
      </c>
      <c r="E1217" s="869" t="s">
        <v>2037</v>
      </c>
      <c r="F1217" s="879">
        <f>[2]Hoja1!$B$111</f>
        <v>0.27791111632027071</v>
      </c>
      <c r="G1217" s="869" t="s">
        <v>902</v>
      </c>
      <c r="H1217" s="869" t="s">
        <v>1344</v>
      </c>
      <c r="I1217" s="869"/>
      <c r="J1217" s="869" t="s">
        <v>2038</v>
      </c>
      <c r="K1217" s="880" t="s">
        <v>2264</v>
      </c>
    </row>
    <row r="1218" spans="1:11" s="866" customFormat="1" ht="28.8" x14ac:dyDescent="0.3">
      <c r="A1218" s="869" t="s">
        <v>2025</v>
      </c>
      <c r="B1218" s="881">
        <f>'[1]PLAN DE DESARROLLO 2024 - 2027'!$M$123</f>
        <v>0.20174333228533195</v>
      </c>
      <c r="C1218" s="869" t="s">
        <v>2031</v>
      </c>
      <c r="D1218" s="883">
        <f>'[1]PLAN DE DESARROLLO 2024 - 2027'!$M$147</f>
        <v>0.1413865782697985</v>
      </c>
      <c r="E1218" s="869" t="s">
        <v>2037</v>
      </c>
      <c r="F1218" s="879">
        <f>[2]Hoja1!$B$111</f>
        <v>0.27791111632027071</v>
      </c>
      <c r="G1218" s="869" t="s">
        <v>903</v>
      </c>
      <c r="H1218" s="869" t="s">
        <v>1345</v>
      </c>
      <c r="I1218" s="869"/>
      <c r="J1218" s="869" t="s">
        <v>48</v>
      </c>
      <c r="K1218" s="880" t="s">
        <v>2264</v>
      </c>
    </row>
    <row r="1219" spans="1:11" s="866" customFormat="1" ht="28.8" x14ac:dyDescent="0.3">
      <c r="A1219" s="869" t="s">
        <v>2025</v>
      </c>
      <c r="B1219" s="881">
        <f>'[1]PLAN DE DESARROLLO 2024 - 2027'!$M$123</f>
        <v>0.20174333228533195</v>
      </c>
      <c r="C1219" s="869" t="s">
        <v>2031</v>
      </c>
      <c r="D1219" s="883">
        <f>'[1]PLAN DE DESARROLLO 2024 - 2027'!$M$147</f>
        <v>0.1413865782697985</v>
      </c>
      <c r="E1219" s="869" t="s">
        <v>2037</v>
      </c>
      <c r="F1219" s="879">
        <f>[2]Hoja1!$B$111</f>
        <v>0.27791111632027071</v>
      </c>
      <c r="G1219" s="869" t="s">
        <v>904</v>
      </c>
      <c r="H1219" s="869" t="s">
        <v>1346</v>
      </c>
      <c r="I1219" s="869"/>
      <c r="J1219" s="869" t="s">
        <v>48</v>
      </c>
      <c r="K1219" s="880" t="s">
        <v>2264</v>
      </c>
    </row>
    <row r="1220" spans="1:11" s="866" customFormat="1" ht="28.8" x14ac:dyDescent="0.3">
      <c r="A1220" s="869" t="s">
        <v>2025</v>
      </c>
      <c r="B1220" s="881">
        <f>'[1]PLAN DE DESARROLLO 2024 - 2027'!$M$123</f>
        <v>0.20174333228533195</v>
      </c>
      <c r="C1220" s="869" t="s">
        <v>2031</v>
      </c>
      <c r="D1220" s="883">
        <f>'[1]PLAN DE DESARROLLO 2024 - 2027'!$M$147</f>
        <v>0.1413865782697985</v>
      </c>
      <c r="E1220" s="869" t="s">
        <v>2037</v>
      </c>
      <c r="F1220" s="879">
        <f>[2]Hoja1!$B$111</f>
        <v>0.27791111632027071</v>
      </c>
      <c r="G1220" s="869" t="s">
        <v>905</v>
      </c>
      <c r="H1220" s="869" t="s">
        <v>1347</v>
      </c>
      <c r="I1220" s="869"/>
      <c r="J1220" s="869" t="s">
        <v>48</v>
      </c>
      <c r="K1220" s="880" t="s">
        <v>2264</v>
      </c>
    </row>
    <row r="1221" spans="1:11" s="866" customFormat="1" ht="28.8" x14ac:dyDescent="0.3">
      <c r="A1221" s="869" t="s">
        <v>2025</v>
      </c>
      <c r="B1221" s="881">
        <f>'[1]PLAN DE DESARROLLO 2024 - 2027'!$M$123</f>
        <v>0.20174333228533195</v>
      </c>
      <c r="C1221" s="869" t="s">
        <v>2031</v>
      </c>
      <c r="D1221" s="883">
        <f>'[1]PLAN DE DESARROLLO 2024 - 2027'!$M$147</f>
        <v>0.1413865782697985</v>
      </c>
      <c r="E1221" s="869" t="s">
        <v>2036</v>
      </c>
      <c r="F1221" s="879" t="s">
        <v>2265</v>
      </c>
      <c r="G1221" s="869" t="s">
        <v>888</v>
      </c>
      <c r="H1221" s="869" t="s">
        <v>1331</v>
      </c>
      <c r="I1221" s="869"/>
      <c r="J1221" s="869" t="s">
        <v>825</v>
      </c>
      <c r="K1221" s="880" t="s">
        <v>2264</v>
      </c>
    </row>
    <row r="1222" spans="1:11" s="866" customFormat="1" ht="28.8" x14ac:dyDescent="0.3">
      <c r="A1222" s="869" t="s">
        <v>2025</v>
      </c>
      <c r="B1222" s="881">
        <f>'[1]PLAN DE DESARROLLO 2024 - 2027'!$M$123</f>
        <v>0.20174333228533195</v>
      </c>
      <c r="C1222" s="869" t="s">
        <v>2031</v>
      </c>
      <c r="D1222" s="883">
        <f>'[1]PLAN DE DESARROLLO 2024 - 2027'!$M$147</f>
        <v>0.1413865782697985</v>
      </c>
      <c r="E1222" s="869" t="s">
        <v>2036</v>
      </c>
      <c r="F1222" s="879" t="s">
        <v>2265</v>
      </c>
      <c r="G1222" s="869" t="s">
        <v>889</v>
      </c>
      <c r="H1222" s="869" t="s">
        <v>1332</v>
      </c>
      <c r="I1222" s="869"/>
      <c r="J1222" s="869" t="s">
        <v>825</v>
      </c>
      <c r="K1222" s="880" t="s">
        <v>2264</v>
      </c>
    </row>
    <row r="1223" spans="1:11" s="866" customFormat="1" ht="28.8" x14ac:dyDescent="0.3">
      <c r="A1223" s="869" t="s">
        <v>2025</v>
      </c>
      <c r="B1223" s="881">
        <f>'[1]PLAN DE DESARROLLO 2024 - 2027'!$M$123</f>
        <v>0.20174333228533195</v>
      </c>
      <c r="C1223" s="869" t="s">
        <v>2031</v>
      </c>
      <c r="D1223" s="883">
        <f>'[1]PLAN DE DESARROLLO 2024 - 2027'!$M$147</f>
        <v>0.1413865782697985</v>
      </c>
      <c r="E1223" s="869" t="s">
        <v>2036</v>
      </c>
      <c r="F1223" s="879" t="s">
        <v>2265</v>
      </c>
      <c r="G1223" s="869" t="s">
        <v>890</v>
      </c>
      <c r="H1223" s="869" t="s">
        <v>1333</v>
      </c>
      <c r="I1223" s="869"/>
      <c r="J1223" s="869" t="s">
        <v>825</v>
      </c>
      <c r="K1223" s="880" t="s">
        <v>2264</v>
      </c>
    </row>
    <row r="1224" spans="1:11" s="866" customFormat="1" ht="28.8" x14ac:dyDescent="0.3">
      <c r="A1224" s="869" t="s">
        <v>2025</v>
      </c>
      <c r="B1224" s="881">
        <f>'[1]PLAN DE DESARROLLO 2024 - 2027'!$M$123</f>
        <v>0.20174333228533195</v>
      </c>
      <c r="C1224" s="869" t="s">
        <v>2031</v>
      </c>
      <c r="D1224" s="883">
        <f>'[1]PLAN DE DESARROLLO 2024 - 2027'!$M$147</f>
        <v>0.1413865782697985</v>
      </c>
      <c r="E1224" s="869" t="s">
        <v>2036</v>
      </c>
      <c r="F1224" s="879" t="s">
        <v>2265</v>
      </c>
      <c r="G1224" s="869" t="s">
        <v>891</v>
      </c>
      <c r="H1224" s="869" t="s">
        <v>1334</v>
      </c>
      <c r="I1224" s="869"/>
      <c r="J1224" s="869" t="s">
        <v>825</v>
      </c>
      <c r="K1224" s="880" t="s">
        <v>2264</v>
      </c>
    </row>
    <row r="1225" spans="1:11" s="866" customFormat="1" ht="28.8" x14ac:dyDescent="0.3">
      <c r="A1225" s="869" t="s">
        <v>2025</v>
      </c>
      <c r="B1225" s="881">
        <f>'[1]PLAN DE DESARROLLO 2024 - 2027'!$M$123</f>
        <v>0.20174333228533195</v>
      </c>
      <c r="C1225" s="869" t="s">
        <v>2031</v>
      </c>
      <c r="D1225" s="883">
        <f>'[1]PLAN DE DESARROLLO 2024 - 2027'!$M$147</f>
        <v>0.1413865782697985</v>
      </c>
      <c r="E1225" s="869" t="s">
        <v>1814</v>
      </c>
      <c r="F1225" s="879">
        <f>[2]Hoja1!$B$149</f>
        <v>0</v>
      </c>
      <c r="G1225" s="869" t="s">
        <v>892</v>
      </c>
      <c r="H1225" s="869" t="s">
        <v>1335</v>
      </c>
      <c r="I1225" s="869"/>
      <c r="J1225" s="869" t="s">
        <v>863</v>
      </c>
      <c r="K1225" s="880" t="s">
        <v>2264</v>
      </c>
    </row>
    <row r="1226" spans="1:11" s="866" customFormat="1" ht="28.8" x14ac:dyDescent="0.3">
      <c r="A1226" s="869" t="s">
        <v>2025</v>
      </c>
      <c r="B1226" s="881">
        <f>'[1]PLAN DE DESARROLLO 2024 - 2027'!$M$123</f>
        <v>0.20174333228533195</v>
      </c>
      <c r="C1226" s="869" t="s">
        <v>2031</v>
      </c>
      <c r="D1226" s="883">
        <f>'[1]PLAN DE DESARROLLO 2024 - 2027'!$M$147</f>
        <v>0.1413865782697985</v>
      </c>
      <c r="E1226" s="869" t="s">
        <v>1814</v>
      </c>
      <c r="F1226" s="879">
        <f>[2]Hoja1!$B$149</f>
        <v>0</v>
      </c>
      <c r="G1226" s="869" t="s">
        <v>893</v>
      </c>
      <c r="H1226" s="869" t="s">
        <v>1336</v>
      </c>
      <c r="I1226" s="869"/>
      <c r="J1226" s="869" t="s">
        <v>863</v>
      </c>
      <c r="K1226" s="880" t="s">
        <v>2264</v>
      </c>
    </row>
    <row r="1227" spans="1:11" s="866" customFormat="1" ht="28.8" x14ac:dyDescent="0.3">
      <c r="A1227" s="869" t="s">
        <v>2025</v>
      </c>
      <c r="B1227" s="881">
        <f>'[1]PLAN DE DESARROLLO 2024 - 2027'!$M$123</f>
        <v>0.20174333228533195</v>
      </c>
      <c r="C1227" s="869" t="s">
        <v>2031</v>
      </c>
      <c r="D1227" s="883">
        <f>'[1]PLAN DE DESARROLLO 2024 - 2027'!$M$147</f>
        <v>0.1413865782697985</v>
      </c>
      <c r="E1227" s="869" t="s">
        <v>1814</v>
      </c>
      <c r="F1227" s="879">
        <f>[2]Hoja1!$B$149</f>
        <v>0</v>
      </c>
      <c r="G1227" s="869" t="s">
        <v>894</v>
      </c>
      <c r="H1227" s="869" t="s">
        <v>1337</v>
      </c>
      <c r="I1227" s="869"/>
      <c r="J1227" s="869" t="s">
        <v>863</v>
      </c>
      <c r="K1227" s="880" t="s">
        <v>2264</v>
      </c>
    </row>
    <row r="1228" spans="1:11" s="866" customFormat="1" ht="28.8" x14ac:dyDescent="0.3">
      <c r="A1228" s="869" t="s">
        <v>2025</v>
      </c>
      <c r="B1228" s="881">
        <f>'[1]PLAN DE DESARROLLO 2024 - 2027'!$M$123</f>
        <v>0.20174333228533195</v>
      </c>
      <c r="C1228" s="869" t="s">
        <v>2031</v>
      </c>
      <c r="D1228" s="883">
        <f>'[1]PLAN DE DESARROLLO 2024 - 2027'!$M$147</f>
        <v>0.1413865782697985</v>
      </c>
      <c r="E1228" s="869" t="s">
        <v>2039</v>
      </c>
      <c r="F1228" s="879">
        <f>[2]Hoja1!$B$155</f>
        <v>0.49849955410878943</v>
      </c>
      <c r="G1228" s="869" t="s">
        <v>906</v>
      </c>
      <c r="H1228" s="869" t="s">
        <v>1348</v>
      </c>
      <c r="I1228" s="869"/>
      <c r="J1228" s="869" t="s">
        <v>907</v>
      </c>
      <c r="K1228" s="880" t="s">
        <v>2264</v>
      </c>
    </row>
    <row r="1229" spans="1:11" s="866" customFormat="1" ht="28.8" x14ac:dyDescent="0.3">
      <c r="A1229" s="869" t="s">
        <v>2025</v>
      </c>
      <c r="B1229" s="881">
        <f>'[1]PLAN DE DESARROLLO 2024 - 2027'!$M$123</f>
        <v>0.20174333228533195</v>
      </c>
      <c r="C1229" s="869" t="s">
        <v>2031</v>
      </c>
      <c r="D1229" s="883">
        <f>'[1]PLAN DE DESARROLLO 2024 - 2027'!$M$147</f>
        <v>0.1413865782697985</v>
      </c>
      <c r="E1229" s="869" t="s">
        <v>2039</v>
      </c>
      <c r="F1229" s="879">
        <f>[2]Hoja1!$B$155</f>
        <v>0.49849955410878943</v>
      </c>
      <c r="G1229" s="869" t="s">
        <v>908</v>
      </c>
      <c r="H1229" s="869" t="s">
        <v>1349</v>
      </c>
      <c r="I1229" s="869"/>
      <c r="J1229" s="869" t="s">
        <v>907</v>
      </c>
      <c r="K1229" s="880" t="s">
        <v>2264</v>
      </c>
    </row>
    <row r="1230" spans="1:11" s="866" customFormat="1" ht="28.8" x14ac:dyDescent="0.3">
      <c r="A1230" s="869" t="s">
        <v>2118</v>
      </c>
      <c r="B1230" s="881">
        <f>'[1]PLAN DE DESARROLLO 2024 - 2027'!$M$161</f>
        <v>0.24647581985093744</v>
      </c>
      <c r="C1230" s="869" t="s">
        <v>2120</v>
      </c>
      <c r="D1230" s="878">
        <f>'[1]PLAN DE DESARROLLO 2024 - 2027'!$M$166</f>
        <v>0.23451309458253802</v>
      </c>
      <c r="E1230" s="869" t="s">
        <v>2132</v>
      </c>
      <c r="F1230" s="879">
        <f>[2]Hoja1!$B$134</f>
        <v>0.3</v>
      </c>
      <c r="G1230" s="869" t="s">
        <v>978</v>
      </c>
      <c r="H1230" s="869" t="s">
        <v>1179</v>
      </c>
      <c r="I1230" s="869"/>
      <c r="J1230" s="869" t="s">
        <v>516</v>
      </c>
      <c r="K1230" s="880" t="s">
        <v>2264</v>
      </c>
    </row>
    <row r="1231" spans="1:11" s="866" customFormat="1" ht="28.8" x14ac:dyDescent="0.3">
      <c r="A1231" s="869" t="s">
        <v>2025</v>
      </c>
      <c r="B1231" s="881">
        <f>'[1]PLAN DE DESARROLLO 2024 - 2027'!$M$123</f>
        <v>0.20174333228533195</v>
      </c>
      <c r="C1231" s="869" t="s">
        <v>2031</v>
      </c>
      <c r="D1231" s="883">
        <f>'[1]PLAN DE DESARROLLO 2024 - 2027'!$M$147</f>
        <v>0.1413865782697985</v>
      </c>
      <c r="E1231" s="869" t="s">
        <v>2039</v>
      </c>
      <c r="F1231" s="879">
        <f>[2]Hoja1!$B$155</f>
        <v>0.49849955410878943</v>
      </c>
      <c r="G1231" s="869" t="s">
        <v>909</v>
      </c>
      <c r="H1231" s="869" t="s">
        <v>1350</v>
      </c>
      <c r="I1231" s="869"/>
      <c r="J1231" s="869" t="s">
        <v>907</v>
      </c>
      <c r="K1231" s="880" t="s">
        <v>2264</v>
      </c>
    </row>
    <row r="1232" spans="1:11" s="866" customFormat="1" ht="28.8" x14ac:dyDescent="0.3">
      <c r="A1232" s="869" t="s">
        <v>2025</v>
      </c>
      <c r="B1232" s="881">
        <f>'[1]PLAN DE DESARROLLO 2024 - 2027'!$M$123</f>
        <v>0.20174333228533195</v>
      </c>
      <c r="C1232" s="869" t="s">
        <v>2031</v>
      </c>
      <c r="D1232" s="883">
        <f>'[1]PLAN DE DESARROLLO 2024 - 2027'!$M$147</f>
        <v>0.1413865782697985</v>
      </c>
      <c r="E1232" s="869" t="s">
        <v>2039</v>
      </c>
      <c r="F1232" s="879">
        <f>[2]Hoja1!$B$155</f>
        <v>0.49849955410878943</v>
      </c>
      <c r="G1232" s="869" t="s">
        <v>910</v>
      </c>
      <c r="H1232" s="869" t="s">
        <v>1351</v>
      </c>
      <c r="I1232" s="869"/>
      <c r="J1232" s="869" t="s">
        <v>907</v>
      </c>
      <c r="K1232" s="880" t="s">
        <v>2264</v>
      </c>
    </row>
    <row r="1233" spans="1:11" s="866" customFormat="1" ht="28.8" x14ac:dyDescent="0.3">
      <c r="A1233" s="869" t="s">
        <v>2025</v>
      </c>
      <c r="B1233" s="881">
        <f>'[1]PLAN DE DESARROLLO 2024 - 2027'!$M$123</f>
        <v>0.20174333228533195</v>
      </c>
      <c r="C1233" s="869" t="s">
        <v>2031</v>
      </c>
      <c r="D1233" s="883">
        <f>'[1]PLAN DE DESARROLLO 2024 - 2027'!$M$147</f>
        <v>0.1413865782697985</v>
      </c>
      <c r="E1233" s="869" t="s">
        <v>2039</v>
      </c>
      <c r="F1233" s="879">
        <f>[2]Hoja1!$B$155</f>
        <v>0.49849955410878943</v>
      </c>
      <c r="G1233" s="869" t="s">
        <v>911</v>
      </c>
      <c r="H1233" s="869" t="s">
        <v>1352</v>
      </c>
      <c r="I1233" s="869"/>
      <c r="J1233" s="869" t="s">
        <v>907</v>
      </c>
      <c r="K1233" s="880" t="s">
        <v>2264</v>
      </c>
    </row>
    <row r="1234" spans="1:11" s="866" customFormat="1" ht="28.8" x14ac:dyDescent="0.3">
      <c r="A1234" s="869" t="s">
        <v>2025</v>
      </c>
      <c r="B1234" s="881">
        <f>'[1]PLAN DE DESARROLLO 2024 - 2027'!$M$123</f>
        <v>0.20174333228533195</v>
      </c>
      <c r="C1234" s="869" t="s">
        <v>2031</v>
      </c>
      <c r="D1234" s="883">
        <f>'[1]PLAN DE DESARROLLO 2024 - 2027'!$M$147</f>
        <v>0.1413865782697985</v>
      </c>
      <c r="E1234" s="869" t="s">
        <v>2039</v>
      </c>
      <c r="F1234" s="879">
        <f>[2]Hoja1!$B$155</f>
        <v>0.49849955410878943</v>
      </c>
      <c r="G1234" s="869" t="s">
        <v>912</v>
      </c>
      <c r="H1234" s="869" t="s">
        <v>1353</v>
      </c>
      <c r="I1234" s="869"/>
      <c r="J1234" s="869" t="s">
        <v>907</v>
      </c>
      <c r="K1234" s="880" t="s">
        <v>2264</v>
      </c>
    </row>
    <row r="1235" spans="1:11" s="866" customFormat="1" ht="28.8" x14ac:dyDescent="0.3">
      <c r="A1235" s="869" t="s">
        <v>2025</v>
      </c>
      <c r="B1235" s="881">
        <f>'[1]PLAN DE DESARROLLO 2024 - 2027'!$M$123</f>
        <v>0.20174333228533195</v>
      </c>
      <c r="C1235" s="869" t="s">
        <v>2031</v>
      </c>
      <c r="D1235" s="883">
        <f>'[1]PLAN DE DESARROLLO 2024 - 2027'!$M$147</f>
        <v>0.1413865782697985</v>
      </c>
      <c r="E1235" s="869" t="s">
        <v>2039</v>
      </c>
      <c r="F1235" s="879">
        <f>[2]Hoja1!$B$155</f>
        <v>0.49849955410878943</v>
      </c>
      <c r="G1235" s="869" t="s">
        <v>913</v>
      </c>
      <c r="H1235" s="869" t="s">
        <v>1354</v>
      </c>
      <c r="I1235" s="869"/>
      <c r="J1235" s="869" t="s">
        <v>907</v>
      </c>
      <c r="K1235" s="880" t="s">
        <v>2264</v>
      </c>
    </row>
    <row r="1236" spans="1:11" s="866" customFormat="1" ht="28.8" x14ac:dyDescent="0.3">
      <c r="A1236" s="869" t="s">
        <v>2025</v>
      </c>
      <c r="B1236" s="881">
        <f>'[1]PLAN DE DESARROLLO 2024 - 2027'!$M$123</f>
        <v>0.20174333228533195</v>
      </c>
      <c r="C1236" s="869" t="s">
        <v>2031</v>
      </c>
      <c r="D1236" s="883">
        <f>'[1]PLAN DE DESARROLLO 2024 - 2027'!$M$147</f>
        <v>0.1413865782697985</v>
      </c>
      <c r="E1236" s="869" t="s">
        <v>2039</v>
      </c>
      <c r="F1236" s="879">
        <f>[2]Hoja1!$B$155</f>
        <v>0.49849955410878943</v>
      </c>
      <c r="G1236" s="869" t="s">
        <v>914</v>
      </c>
      <c r="H1236" s="869" t="s">
        <v>1355</v>
      </c>
      <c r="I1236" s="869"/>
      <c r="J1236" s="869" t="s">
        <v>2040</v>
      </c>
      <c r="K1236" s="880" t="s">
        <v>2264</v>
      </c>
    </row>
    <row r="1237" spans="1:11" s="866" customFormat="1" ht="28.8" x14ac:dyDescent="0.3">
      <c r="A1237" s="869" t="s">
        <v>2025</v>
      </c>
      <c r="B1237" s="881">
        <f>'[1]PLAN DE DESARROLLO 2024 - 2027'!$M$123</f>
        <v>0.20174333228533195</v>
      </c>
      <c r="C1237" s="869" t="s">
        <v>2031</v>
      </c>
      <c r="D1237" s="883">
        <f>'[1]PLAN DE DESARROLLO 2024 - 2027'!$M$147</f>
        <v>0.1413865782697985</v>
      </c>
      <c r="E1237" s="869" t="s">
        <v>2039</v>
      </c>
      <c r="F1237" s="879">
        <f>[2]Hoja1!$B$155</f>
        <v>0.49849955410878943</v>
      </c>
      <c r="G1237" s="869" t="s">
        <v>916</v>
      </c>
      <c r="H1237" s="869" t="s">
        <v>1356</v>
      </c>
      <c r="I1237" s="869"/>
      <c r="J1237" s="869" t="s">
        <v>2041</v>
      </c>
      <c r="K1237" s="880" t="s">
        <v>2264</v>
      </c>
    </row>
    <row r="1238" spans="1:11" s="866" customFormat="1" ht="43.2" x14ac:dyDescent="0.3">
      <c r="A1238" s="869" t="s">
        <v>2151</v>
      </c>
      <c r="B1238" s="877">
        <f>'[1]PLAN DE DESARROLLO 2024 - 2027'!$M$4</f>
        <v>0.24028917333263158</v>
      </c>
      <c r="C1238" s="869" t="s">
        <v>2157</v>
      </c>
      <c r="D1238" s="878">
        <f>'[1]PLAN DE DESARROLLO 2024 - 2027'!$M$20</f>
        <v>0.2170625911038922</v>
      </c>
      <c r="E1238" s="869" t="s">
        <v>1629</v>
      </c>
      <c r="F1238" s="879">
        <f>[2]Hoja1!$B$139</f>
        <v>0.25787869115937234</v>
      </c>
      <c r="G1238" s="869" t="s">
        <v>2165</v>
      </c>
      <c r="H1238" s="869" t="s">
        <v>2166</v>
      </c>
      <c r="I1238" s="869"/>
      <c r="J1238" s="869" t="s">
        <v>162</v>
      </c>
      <c r="K1238" s="880" t="s">
        <v>2264</v>
      </c>
    </row>
    <row r="1239" spans="1:11" s="866" customFormat="1" ht="43.2" x14ac:dyDescent="0.3">
      <c r="A1239" s="869" t="s">
        <v>2151</v>
      </c>
      <c r="B1239" s="877">
        <f>'[1]PLAN DE DESARROLLO 2024 - 2027'!$M$4</f>
        <v>0.24028917333263158</v>
      </c>
      <c r="C1239" s="869" t="s">
        <v>2157</v>
      </c>
      <c r="D1239" s="878">
        <f>'[1]PLAN DE DESARROLLO 2024 - 2027'!$M$20</f>
        <v>0.2170625911038922</v>
      </c>
      <c r="E1239" s="869" t="s">
        <v>1629</v>
      </c>
      <c r="F1239" s="879">
        <f>[2]Hoja1!$B$139</f>
        <v>0.25787869115937234</v>
      </c>
      <c r="G1239" s="869" t="s">
        <v>216</v>
      </c>
      <c r="H1239" s="869" t="s">
        <v>217</v>
      </c>
      <c r="I1239" s="869"/>
      <c r="J1239" s="869" t="s">
        <v>162</v>
      </c>
      <c r="K1239" s="880" t="s">
        <v>2264</v>
      </c>
    </row>
    <row r="1240" spans="1:11" s="866" customFormat="1" ht="43.2" x14ac:dyDescent="0.3">
      <c r="A1240" s="869" t="s">
        <v>2151</v>
      </c>
      <c r="B1240" s="877">
        <f>'[1]PLAN DE DESARROLLO 2024 - 2027'!$M$4</f>
        <v>0.24028917333263158</v>
      </c>
      <c r="C1240" s="869" t="s">
        <v>2157</v>
      </c>
      <c r="D1240" s="878">
        <f>'[1]PLAN DE DESARROLLO 2024 - 2027'!$M$20</f>
        <v>0.2170625911038922</v>
      </c>
      <c r="E1240" s="869" t="s">
        <v>1629</v>
      </c>
      <c r="F1240" s="879">
        <f>[2]Hoja1!$B$139</f>
        <v>0.25787869115937234</v>
      </c>
      <c r="G1240" s="869" t="s">
        <v>218</v>
      </c>
      <c r="H1240" s="869" t="s">
        <v>219</v>
      </c>
      <c r="I1240" s="869"/>
      <c r="J1240" s="869" t="s">
        <v>162</v>
      </c>
      <c r="K1240" s="880" t="s">
        <v>2264</v>
      </c>
    </row>
    <row r="1241" spans="1:11" s="866" customFormat="1" ht="28.8" x14ac:dyDescent="0.3">
      <c r="A1241" s="869" t="s">
        <v>2151</v>
      </c>
      <c r="B1241" s="877">
        <f>'[1]PLAN DE DESARROLLO 2024 - 2027'!$M$4</f>
        <v>0.24028917333263158</v>
      </c>
      <c r="C1241" s="869" t="s">
        <v>2184</v>
      </c>
      <c r="D1241" s="878">
        <f>'[1]PLAN DE DESARROLLO 2024 - 2027'!$M$5</f>
        <v>0.36421067601552731</v>
      </c>
      <c r="E1241" s="869" t="s">
        <v>2200</v>
      </c>
      <c r="F1241" s="879">
        <f>[2]Hoja1!$B$56</f>
        <v>0.25921388888888885</v>
      </c>
      <c r="G1241" s="869" t="s">
        <v>46</v>
      </c>
      <c r="H1241" s="869" t="s">
        <v>47</v>
      </c>
      <c r="I1241" s="869"/>
      <c r="J1241" s="869" t="s">
        <v>48</v>
      </c>
      <c r="K1241" s="880" t="s">
        <v>2264</v>
      </c>
    </row>
    <row r="1242" spans="1:11" s="866" customFormat="1" ht="28.8" x14ac:dyDescent="0.3">
      <c r="A1242" s="869" t="s">
        <v>2151</v>
      </c>
      <c r="B1242" s="877">
        <f>'[1]PLAN DE DESARROLLO 2024 - 2027'!$M$4</f>
        <v>0.24028917333263158</v>
      </c>
      <c r="C1242" s="869" t="s">
        <v>2184</v>
      </c>
      <c r="D1242" s="878">
        <f>'[1]PLAN DE DESARROLLO 2024 - 2027'!$M$5</f>
        <v>0.36421067601552731</v>
      </c>
      <c r="E1242" s="869" t="s">
        <v>2200</v>
      </c>
      <c r="F1242" s="879">
        <f>[2]Hoja1!$B$56</f>
        <v>0.25921388888888885</v>
      </c>
      <c r="G1242" s="869" t="s">
        <v>49</v>
      </c>
      <c r="H1242" s="869" t="s">
        <v>50</v>
      </c>
      <c r="I1242" s="869"/>
      <c r="J1242" s="869" t="s">
        <v>48</v>
      </c>
      <c r="K1242" s="880" t="s">
        <v>2264</v>
      </c>
    </row>
    <row r="1243" spans="1:11" s="866" customFormat="1" x14ac:dyDescent="0.3">
      <c r="A1243" s="869" t="s">
        <v>2151</v>
      </c>
      <c r="B1243" s="877">
        <f>'[1]PLAN DE DESARROLLO 2024 - 2027'!$M$4</f>
        <v>0.24028917333263158</v>
      </c>
      <c r="C1243" s="869" t="s">
        <v>2184</v>
      </c>
      <c r="D1243" s="878">
        <f>'[1]PLAN DE DESARROLLO 2024 - 2027'!$M$5</f>
        <v>0.36421067601552731</v>
      </c>
      <c r="E1243" s="869" t="s">
        <v>2200</v>
      </c>
      <c r="F1243" s="879">
        <f>[2]Hoja1!$B$56</f>
        <v>0.25921388888888885</v>
      </c>
      <c r="G1243" s="869" t="s">
        <v>51</v>
      </c>
      <c r="H1243" s="869" t="s">
        <v>52</v>
      </c>
      <c r="I1243" s="869"/>
      <c r="J1243" s="869" t="s">
        <v>48</v>
      </c>
      <c r="K1243" s="880" t="s">
        <v>2264</v>
      </c>
    </row>
    <row r="1244" spans="1:11" s="866" customFormat="1" ht="28.8" x14ac:dyDescent="0.3">
      <c r="A1244" s="869" t="s">
        <v>2151</v>
      </c>
      <c r="B1244" s="877">
        <f>'[1]PLAN DE DESARROLLO 2024 - 2027'!$M$4</f>
        <v>0.24028917333263158</v>
      </c>
      <c r="C1244" s="869" t="s">
        <v>2184</v>
      </c>
      <c r="D1244" s="878">
        <f>'[1]PLAN DE DESARROLLO 2024 - 2027'!$M$5</f>
        <v>0.36421067601552731</v>
      </c>
      <c r="E1244" s="869" t="s">
        <v>2200</v>
      </c>
      <c r="F1244" s="879">
        <f>[2]Hoja1!$B$56</f>
        <v>0.25921388888888885</v>
      </c>
      <c r="G1244" s="869" t="s">
        <v>53</v>
      </c>
      <c r="H1244" s="869" t="s">
        <v>54</v>
      </c>
      <c r="I1244" s="869"/>
      <c r="J1244" s="869" t="s">
        <v>48</v>
      </c>
      <c r="K1244" s="880" t="s">
        <v>2264</v>
      </c>
    </row>
    <row r="1245" spans="1:11" s="866" customFormat="1" x14ac:dyDescent="0.3">
      <c r="A1245" s="869" t="s">
        <v>2151</v>
      </c>
      <c r="B1245" s="877">
        <f>'[1]PLAN DE DESARROLLO 2024 - 2027'!$M$4</f>
        <v>0.24028917333263158</v>
      </c>
      <c r="C1245" s="869" t="s">
        <v>2184</v>
      </c>
      <c r="D1245" s="878">
        <f>'[1]PLAN DE DESARROLLO 2024 - 2027'!$M$5</f>
        <v>0.36421067601552731</v>
      </c>
      <c r="E1245" s="869" t="s">
        <v>1594</v>
      </c>
      <c r="F1245" s="879">
        <f>[2]Hoja1!$B$57</f>
        <v>0.64999999999999991</v>
      </c>
      <c r="G1245" s="869" t="s">
        <v>23</v>
      </c>
      <c r="H1245" s="869" t="s">
        <v>24</v>
      </c>
      <c r="I1245" s="869"/>
      <c r="J1245" s="869" t="s">
        <v>12</v>
      </c>
      <c r="K1245" s="880" t="s">
        <v>2264</v>
      </c>
    </row>
    <row r="1246" spans="1:11" s="866" customFormat="1" x14ac:dyDescent="0.3">
      <c r="A1246" s="869" t="s">
        <v>2151</v>
      </c>
      <c r="B1246" s="877">
        <f>'[1]PLAN DE DESARROLLO 2024 - 2027'!$M$4</f>
        <v>0.24028917333263158</v>
      </c>
      <c r="C1246" s="869" t="s">
        <v>2184</v>
      </c>
      <c r="D1246" s="878">
        <f>'[1]PLAN DE DESARROLLO 2024 - 2027'!$M$5</f>
        <v>0.36421067601552731</v>
      </c>
      <c r="E1246" s="869" t="s">
        <v>1594</v>
      </c>
      <c r="F1246" s="879">
        <f>[2]Hoja1!$B$57</f>
        <v>0.64999999999999991</v>
      </c>
      <c r="G1246" s="869" t="s">
        <v>25</v>
      </c>
      <c r="H1246" s="869" t="s">
        <v>26</v>
      </c>
      <c r="I1246" s="869"/>
      <c r="J1246" s="869" t="s">
        <v>12</v>
      </c>
      <c r="K1246" s="880" t="s">
        <v>2264</v>
      </c>
    </row>
    <row r="1247" spans="1:11" s="866" customFormat="1" ht="28.8" x14ac:dyDescent="0.3">
      <c r="A1247" s="869" t="s">
        <v>2151</v>
      </c>
      <c r="B1247" s="877">
        <f>'[1]PLAN DE DESARROLLO 2024 - 2027'!$M$4</f>
        <v>0.24028917333263158</v>
      </c>
      <c r="C1247" s="869" t="s">
        <v>2184</v>
      </c>
      <c r="D1247" s="878">
        <f>'[1]PLAN DE DESARROLLO 2024 - 2027'!$M$5</f>
        <v>0.36421067601552731</v>
      </c>
      <c r="E1247" s="869" t="s">
        <v>1594</v>
      </c>
      <c r="F1247" s="879">
        <f>[2]Hoja1!$B$57</f>
        <v>0.64999999999999991</v>
      </c>
      <c r="G1247" s="869" t="s">
        <v>27</v>
      </c>
      <c r="H1247" s="869" t="s">
        <v>28</v>
      </c>
      <c r="I1247" s="869"/>
      <c r="J1247" s="869" t="s">
        <v>12</v>
      </c>
      <c r="K1247" s="880" t="s">
        <v>2264</v>
      </c>
    </row>
    <row r="1248" spans="1:11" s="866" customFormat="1" ht="43.2" x14ac:dyDescent="0.3">
      <c r="A1248" s="869" t="s">
        <v>2151</v>
      </c>
      <c r="B1248" s="877">
        <f>'[1]PLAN DE DESARROLLO 2024 - 2027'!$M$4</f>
        <v>0.24028917333263158</v>
      </c>
      <c r="C1248" s="869" t="s">
        <v>2184</v>
      </c>
      <c r="D1248" s="878">
        <f>'[1]PLAN DE DESARROLLO 2024 - 2027'!$M$5</f>
        <v>0.36421067601552731</v>
      </c>
      <c r="E1248" s="869" t="s">
        <v>2185</v>
      </c>
      <c r="F1248" s="879">
        <f>[2]Hoja1!$B$121</f>
        <v>0.32500000000000001</v>
      </c>
      <c r="G1248" s="869" t="s">
        <v>10</v>
      </c>
      <c r="H1248" s="869" t="s">
        <v>11</v>
      </c>
      <c r="I1248" s="869"/>
      <c r="J1248" s="869" t="s">
        <v>2186</v>
      </c>
      <c r="K1248" s="880" t="s">
        <v>2264</v>
      </c>
    </row>
    <row r="1249" spans="1:11" s="866" customFormat="1" ht="28.8" x14ac:dyDescent="0.3">
      <c r="A1249" s="869" t="s">
        <v>2151</v>
      </c>
      <c r="B1249" s="877">
        <f>'[1]PLAN DE DESARROLLO 2024 - 2027'!$M$4</f>
        <v>0.24028917333263158</v>
      </c>
      <c r="C1249" s="869" t="s">
        <v>2184</v>
      </c>
      <c r="D1249" s="878">
        <f>'[1]PLAN DE DESARROLLO 2024 - 2027'!$M$5</f>
        <v>0.36421067601552731</v>
      </c>
      <c r="E1249" s="869" t="s">
        <v>2185</v>
      </c>
      <c r="F1249" s="879">
        <f>[2]Hoja1!$B$121</f>
        <v>0.32500000000000001</v>
      </c>
      <c r="G1249" s="869" t="s">
        <v>2187</v>
      </c>
      <c r="H1249" s="869" t="s">
        <v>2188</v>
      </c>
      <c r="I1249" s="869"/>
      <c r="J1249" s="869" t="s">
        <v>2189</v>
      </c>
      <c r="K1249" s="880" t="s">
        <v>2264</v>
      </c>
    </row>
    <row r="1250" spans="1:11" s="866" customFormat="1" ht="28.8" x14ac:dyDescent="0.3">
      <c r="A1250" s="869" t="s">
        <v>2151</v>
      </c>
      <c r="B1250" s="877">
        <f>'[1]PLAN DE DESARROLLO 2024 - 2027'!$M$4</f>
        <v>0.24028917333263158</v>
      </c>
      <c r="C1250" s="869" t="s">
        <v>2184</v>
      </c>
      <c r="D1250" s="878">
        <f>'[1]PLAN DE DESARROLLO 2024 - 2027'!$M$5</f>
        <v>0.36421067601552731</v>
      </c>
      <c r="E1250" s="869" t="s">
        <v>2185</v>
      </c>
      <c r="F1250" s="879">
        <f>[2]Hoja1!$B$121</f>
        <v>0.32500000000000001</v>
      </c>
      <c r="G1250" s="869" t="s">
        <v>2190</v>
      </c>
      <c r="H1250" s="869" t="s">
        <v>16</v>
      </c>
      <c r="I1250" s="869"/>
      <c r="J1250" s="869" t="s">
        <v>12</v>
      </c>
      <c r="K1250" s="880" t="s">
        <v>2264</v>
      </c>
    </row>
    <row r="1251" spans="1:11" s="866" customFormat="1" ht="28.8" x14ac:dyDescent="0.3">
      <c r="A1251" s="869" t="s">
        <v>2151</v>
      </c>
      <c r="B1251" s="877">
        <f>'[1]PLAN DE DESARROLLO 2024 - 2027'!$M$4</f>
        <v>0.24028917333263158</v>
      </c>
      <c r="C1251" s="869" t="s">
        <v>2184</v>
      </c>
      <c r="D1251" s="878">
        <f>'[1]PLAN DE DESARROLLO 2024 - 2027'!$M$5</f>
        <v>0.36421067601552731</v>
      </c>
      <c r="E1251" s="869" t="s">
        <v>2185</v>
      </c>
      <c r="F1251" s="879">
        <f>[2]Hoja1!$B$121</f>
        <v>0.32500000000000001</v>
      </c>
      <c r="G1251" s="869" t="s">
        <v>17</v>
      </c>
      <c r="H1251" s="869" t="s">
        <v>18</v>
      </c>
      <c r="I1251" s="869"/>
      <c r="J1251" s="869" t="s">
        <v>2191</v>
      </c>
      <c r="K1251" s="880" t="s">
        <v>2264</v>
      </c>
    </row>
    <row r="1252" spans="1:11" s="866" customFormat="1" x14ac:dyDescent="0.3">
      <c r="A1252" s="869" t="s">
        <v>2151</v>
      </c>
      <c r="B1252" s="877">
        <f>'[1]PLAN DE DESARROLLO 2024 - 2027'!$M$4</f>
        <v>0.24028917333263158</v>
      </c>
      <c r="C1252" s="869" t="s">
        <v>2184</v>
      </c>
      <c r="D1252" s="878">
        <f>'[1]PLAN DE DESARROLLO 2024 - 2027'!$M$5</f>
        <v>0.36421067601552731</v>
      </c>
      <c r="E1252" s="869" t="s">
        <v>2185</v>
      </c>
      <c r="F1252" s="879">
        <f>[2]Hoja1!$B$121</f>
        <v>0.32500000000000001</v>
      </c>
      <c r="G1252" s="869" t="s">
        <v>2192</v>
      </c>
      <c r="H1252" s="869" t="s">
        <v>2193</v>
      </c>
      <c r="I1252" s="869"/>
      <c r="J1252" s="869" t="s">
        <v>12</v>
      </c>
      <c r="K1252" s="880" t="s">
        <v>2264</v>
      </c>
    </row>
    <row r="1253" spans="1:11" s="866" customFormat="1" ht="86.4" x14ac:dyDescent="0.3">
      <c r="A1253" s="869" t="s">
        <v>2151</v>
      </c>
      <c r="B1253" s="877">
        <f>'[1]PLAN DE DESARROLLO 2024 - 2027'!$M$4</f>
        <v>0.24028917333263158</v>
      </c>
      <c r="C1253" s="869" t="s">
        <v>2184</v>
      </c>
      <c r="D1253" s="878">
        <f>'[1]PLAN DE DESARROLLO 2024 - 2027'!$M$5</f>
        <v>0.36421067601552731</v>
      </c>
      <c r="E1253" s="869" t="s">
        <v>2185</v>
      </c>
      <c r="F1253" s="879">
        <f>[2]Hoja1!$B$121</f>
        <v>0.32500000000000001</v>
      </c>
      <c r="G1253" s="869" t="s">
        <v>21</v>
      </c>
      <c r="H1253" s="869" t="s">
        <v>22</v>
      </c>
      <c r="I1253" s="869"/>
      <c r="J1253" s="869" t="s">
        <v>2194</v>
      </c>
      <c r="K1253" s="880" t="s">
        <v>2264</v>
      </c>
    </row>
    <row r="1254" spans="1:11" s="866" customFormat="1" ht="43.2" x14ac:dyDescent="0.3">
      <c r="A1254" s="869" t="s">
        <v>2151</v>
      </c>
      <c r="B1254" s="877">
        <f>'[1]PLAN DE DESARROLLO 2024 - 2027'!$M$4</f>
        <v>0.24028917333263158</v>
      </c>
      <c r="C1254" s="869" t="s">
        <v>2184</v>
      </c>
      <c r="D1254" s="878">
        <f>'[1]PLAN DE DESARROLLO 2024 - 2027'!$M$5</f>
        <v>0.36421067601552731</v>
      </c>
      <c r="E1254" s="869" t="s">
        <v>1595</v>
      </c>
      <c r="F1254" s="879">
        <f>[2]Hoja1!$B$142</f>
        <v>0.16513095708879477</v>
      </c>
      <c r="G1254" s="869" t="s">
        <v>29</v>
      </c>
      <c r="H1254" s="869" t="s">
        <v>30</v>
      </c>
      <c r="I1254" s="869"/>
      <c r="J1254" s="869" t="s">
        <v>31</v>
      </c>
      <c r="K1254" s="880" t="s">
        <v>2264</v>
      </c>
    </row>
    <row r="1255" spans="1:11" s="866" customFormat="1" ht="43.2" x14ac:dyDescent="0.3">
      <c r="A1255" s="869" t="s">
        <v>2151</v>
      </c>
      <c r="B1255" s="877">
        <f>'[1]PLAN DE DESARROLLO 2024 - 2027'!$M$4</f>
        <v>0.24028917333263158</v>
      </c>
      <c r="C1255" s="869" t="s">
        <v>2184</v>
      </c>
      <c r="D1255" s="878">
        <f>'[1]PLAN DE DESARROLLO 2024 - 2027'!$M$5</f>
        <v>0.36421067601552731</v>
      </c>
      <c r="E1255" s="869" t="s">
        <v>1595</v>
      </c>
      <c r="F1255" s="879">
        <f>[2]Hoja1!$B$142</f>
        <v>0.16513095708879477</v>
      </c>
      <c r="G1255" s="869" t="s">
        <v>32</v>
      </c>
      <c r="H1255" s="869" t="s">
        <v>33</v>
      </c>
      <c r="I1255" s="869"/>
      <c r="J1255" s="869" t="s">
        <v>31</v>
      </c>
      <c r="K1255" s="880" t="s">
        <v>2264</v>
      </c>
    </row>
    <row r="1256" spans="1:11" s="866" customFormat="1" ht="43.2" x14ac:dyDescent="0.3">
      <c r="A1256" s="869" t="s">
        <v>2151</v>
      </c>
      <c r="B1256" s="877">
        <f>'[1]PLAN DE DESARROLLO 2024 - 2027'!$M$4</f>
        <v>0.24028917333263158</v>
      </c>
      <c r="C1256" s="869" t="s">
        <v>2184</v>
      </c>
      <c r="D1256" s="878">
        <f>'[1]PLAN DE DESARROLLO 2024 - 2027'!$M$5</f>
        <v>0.36421067601552731</v>
      </c>
      <c r="E1256" s="869" t="s">
        <v>1595</v>
      </c>
      <c r="F1256" s="879">
        <f>[2]Hoja1!$B$142</f>
        <v>0.16513095708879477</v>
      </c>
      <c r="G1256" s="869" t="s">
        <v>34</v>
      </c>
      <c r="H1256" s="869" t="s">
        <v>2195</v>
      </c>
      <c r="I1256" s="869"/>
      <c r="J1256" s="869" t="s">
        <v>31</v>
      </c>
      <c r="K1256" s="880" t="s">
        <v>2264</v>
      </c>
    </row>
    <row r="1257" spans="1:11" s="866" customFormat="1" ht="43.2" x14ac:dyDescent="0.3">
      <c r="A1257" s="869" t="s">
        <v>2151</v>
      </c>
      <c r="B1257" s="877">
        <f>'[1]PLAN DE DESARROLLO 2024 - 2027'!$M$4</f>
        <v>0.24028917333263158</v>
      </c>
      <c r="C1257" s="869" t="s">
        <v>2184</v>
      </c>
      <c r="D1257" s="878">
        <f>'[1]PLAN DE DESARROLLO 2024 - 2027'!$M$5</f>
        <v>0.36421067601552731</v>
      </c>
      <c r="E1257" s="869" t="s">
        <v>1595</v>
      </c>
      <c r="F1257" s="879">
        <f>[2]Hoja1!$B$142</f>
        <v>0.16513095708879477</v>
      </c>
      <c r="G1257" s="869" t="s">
        <v>35</v>
      </c>
      <c r="H1257" s="869" t="s">
        <v>2196</v>
      </c>
      <c r="I1257" s="869"/>
      <c r="J1257" s="869" t="s">
        <v>31</v>
      </c>
      <c r="K1257" s="880" t="s">
        <v>2264</v>
      </c>
    </row>
    <row r="1258" spans="1:11" s="866" customFormat="1" ht="43.2" x14ac:dyDescent="0.3">
      <c r="A1258" s="869" t="s">
        <v>2151</v>
      </c>
      <c r="B1258" s="877">
        <f>'[1]PLAN DE DESARROLLO 2024 - 2027'!$M$4</f>
        <v>0.24028917333263158</v>
      </c>
      <c r="C1258" s="869" t="s">
        <v>2184</v>
      </c>
      <c r="D1258" s="878">
        <f>'[1]PLAN DE DESARROLLO 2024 - 2027'!$M$5</f>
        <v>0.36421067601552731</v>
      </c>
      <c r="E1258" s="869" t="s">
        <v>1595</v>
      </c>
      <c r="F1258" s="879">
        <f>[2]Hoja1!$B$142</f>
        <v>0.16513095708879477</v>
      </c>
      <c r="G1258" s="869" t="s">
        <v>37</v>
      </c>
      <c r="H1258" s="869" t="s">
        <v>2197</v>
      </c>
      <c r="I1258" s="869"/>
      <c r="J1258" s="869" t="s">
        <v>31</v>
      </c>
      <c r="K1258" s="880" t="s">
        <v>2264</v>
      </c>
    </row>
    <row r="1259" spans="1:11" s="866" customFormat="1" ht="43.2" x14ac:dyDescent="0.3">
      <c r="A1259" s="869" t="s">
        <v>2151</v>
      </c>
      <c r="B1259" s="877">
        <f>'[1]PLAN DE DESARROLLO 2024 - 2027'!$M$4</f>
        <v>0.24028917333263158</v>
      </c>
      <c r="C1259" s="869" t="s">
        <v>2184</v>
      </c>
      <c r="D1259" s="878">
        <f>'[1]PLAN DE DESARROLLO 2024 - 2027'!$M$5</f>
        <v>0.36421067601552731</v>
      </c>
      <c r="E1259" s="869" t="s">
        <v>1595</v>
      </c>
      <c r="F1259" s="879">
        <f>[2]Hoja1!$B$142</f>
        <v>0.16513095708879477</v>
      </c>
      <c r="G1259" s="869" t="s">
        <v>39</v>
      </c>
      <c r="H1259" s="869" t="s">
        <v>40</v>
      </c>
      <c r="I1259" s="869"/>
      <c r="J1259" s="869" t="s">
        <v>31</v>
      </c>
      <c r="K1259" s="880" t="s">
        <v>2264</v>
      </c>
    </row>
    <row r="1260" spans="1:11" s="866" customFormat="1" ht="28.8" x14ac:dyDescent="0.3">
      <c r="A1260" s="869" t="s">
        <v>2151</v>
      </c>
      <c r="B1260" s="877">
        <f>'[1]PLAN DE DESARROLLO 2024 - 2027'!$M$4</f>
        <v>0.24028917333263158</v>
      </c>
      <c r="C1260" s="869" t="s">
        <v>2184</v>
      </c>
      <c r="D1260" s="878">
        <f>'[1]PLAN DE DESARROLLO 2024 - 2027'!$M$5</f>
        <v>0.36421067601552731</v>
      </c>
      <c r="E1260" s="869" t="s">
        <v>2198</v>
      </c>
      <c r="F1260" s="879">
        <f>[2]Hoja1!$B$143</f>
        <v>0.77499999999999991</v>
      </c>
      <c r="G1260" s="869" t="s">
        <v>41</v>
      </c>
      <c r="H1260" s="869" t="s">
        <v>42</v>
      </c>
      <c r="I1260" s="869"/>
      <c r="J1260" s="869" t="s">
        <v>2199</v>
      </c>
      <c r="K1260" s="880" t="s">
        <v>2264</v>
      </c>
    </row>
    <row r="1261" spans="1:11" s="866" customFormat="1" ht="28.8" x14ac:dyDescent="0.3">
      <c r="A1261" s="869" t="s">
        <v>2151</v>
      </c>
      <c r="B1261" s="877">
        <f>'[1]PLAN DE DESARROLLO 2024 - 2027'!$M$4</f>
        <v>0.24028917333263158</v>
      </c>
      <c r="C1261" s="869" t="s">
        <v>2184</v>
      </c>
      <c r="D1261" s="878">
        <f>'[1]PLAN DE DESARROLLO 2024 - 2027'!$M$5</f>
        <v>0.36421067601552731</v>
      </c>
      <c r="E1261" s="869" t="s">
        <v>2198</v>
      </c>
      <c r="F1261" s="879">
        <f>[2]Hoja1!$B$143</f>
        <v>0.77499999999999991</v>
      </c>
      <c r="G1261" s="869" t="s">
        <v>44</v>
      </c>
      <c r="H1261" s="869" t="s">
        <v>45</v>
      </c>
      <c r="I1261" s="869"/>
      <c r="J1261" s="869" t="s">
        <v>2199</v>
      </c>
      <c r="K1261" s="880" t="s">
        <v>2264</v>
      </c>
    </row>
    <row r="1262" spans="1:11" s="866" customFormat="1" ht="43.2" x14ac:dyDescent="0.3">
      <c r="A1262" s="869" t="s">
        <v>2151</v>
      </c>
      <c r="B1262" s="877">
        <f>'[1]PLAN DE DESARROLLO 2024 - 2027'!$M$4</f>
        <v>0.24028917333263158</v>
      </c>
      <c r="C1262" s="869" t="s">
        <v>2153</v>
      </c>
      <c r="D1262" s="878">
        <f>'[1]PLAN DE DESARROLLO 2024 - 2027'!$M$34</f>
        <v>0.12535549571208945</v>
      </c>
      <c r="E1262" s="869" t="s">
        <v>1626</v>
      </c>
      <c r="F1262" s="879">
        <f>[2]Hoja1!$B$2</f>
        <v>0.35514705882352937</v>
      </c>
      <c r="G1262" s="869" t="s">
        <v>342</v>
      </c>
      <c r="H1262" s="869" t="s">
        <v>343</v>
      </c>
      <c r="I1262" s="869"/>
      <c r="J1262" s="869" t="s">
        <v>297</v>
      </c>
      <c r="K1262" s="880" t="s">
        <v>2264</v>
      </c>
    </row>
    <row r="1263" spans="1:11" s="866" customFormat="1" ht="28.8" x14ac:dyDescent="0.3">
      <c r="A1263" s="869" t="s">
        <v>2151</v>
      </c>
      <c r="B1263" s="877">
        <f>'[1]PLAN DE DESARROLLO 2024 - 2027'!$M$4</f>
        <v>0.24028917333263158</v>
      </c>
      <c r="C1263" s="869" t="s">
        <v>2153</v>
      </c>
      <c r="D1263" s="878">
        <f>'[1]PLAN DE DESARROLLO 2024 - 2027'!$M$34</f>
        <v>0.12535549571208945</v>
      </c>
      <c r="E1263" s="869" t="s">
        <v>1626</v>
      </c>
      <c r="F1263" s="879">
        <f>[2]Hoja1!$B$2</f>
        <v>0.35514705882352937</v>
      </c>
      <c r="G1263" s="869" t="s">
        <v>344</v>
      </c>
      <c r="H1263" s="869" t="s">
        <v>345</v>
      </c>
      <c r="I1263" s="869"/>
      <c r="J1263" s="869" t="s">
        <v>297</v>
      </c>
      <c r="K1263" s="880" t="s">
        <v>2264</v>
      </c>
    </row>
    <row r="1264" spans="1:11" s="866" customFormat="1" ht="28.8" x14ac:dyDescent="0.3">
      <c r="A1264" s="869" t="s">
        <v>2151</v>
      </c>
      <c r="B1264" s="877">
        <f>'[1]PLAN DE DESARROLLO 2024 - 2027'!$M$4</f>
        <v>0.24028917333263158</v>
      </c>
      <c r="C1264" s="869" t="s">
        <v>2153</v>
      </c>
      <c r="D1264" s="878">
        <f>'[1]PLAN DE DESARROLLO 2024 - 2027'!$M$34</f>
        <v>0.12535549571208945</v>
      </c>
      <c r="E1264" s="869" t="s">
        <v>2179</v>
      </c>
      <c r="F1264" s="879">
        <f>[2]Hoja1!$B$19</f>
        <v>7.0349999999999996E-3</v>
      </c>
      <c r="G1264" s="869" t="s">
        <v>326</v>
      </c>
      <c r="H1264" s="869" t="s">
        <v>327</v>
      </c>
      <c r="I1264" s="869"/>
      <c r="J1264" s="869" t="s">
        <v>297</v>
      </c>
      <c r="K1264" s="880" t="s">
        <v>2264</v>
      </c>
    </row>
    <row r="1265" spans="1:11" s="866" customFormat="1" ht="28.8" x14ac:dyDescent="0.3">
      <c r="A1265" s="869" t="s">
        <v>2151</v>
      </c>
      <c r="B1265" s="877">
        <f>'[1]PLAN DE DESARROLLO 2024 - 2027'!$M$4</f>
        <v>0.24028917333263158</v>
      </c>
      <c r="C1265" s="869" t="s">
        <v>2153</v>
      </c>
      <c r="D1265" s="878">
        <f>'[1]PLAN DE DESARROLLO 2024 - 2027'!$M$34</f>
        <v>0.12535549571208945</v>
      </c>
      <c r="E1265" s="869" t="s">
        <v>2179</v>
      </c>
      <c r="F1265" s="879">
        <f>[2]Hoja1!$B$19</f>
        <v>7.0349999999999996E-3</v>
      </c>
      <c r="G1265" s="869" t="s">
        <v>328</v>
      </c>
      <c r="H1265" s="869" t="s">
        <v>329</v>
      </c>
      <c r="I1265" s="869"/>
      <c r="J1265" s="869" t="s">
        <v>297</v>
      </c>
      <c r="K1265" s="880" t="s">
        <v>2264</v>
      </c>
    </row>
    <row r="1266" spans="1:11" s="866" customFormat="1" ht="28.8" x14ac:dyDescent="0.3">
      <c r="A1266" s="869" t="s">
        <v>2151</v>
      </c>
      <c r="B1266" s="877">
        <f>'[1]PLAN DE DESARROLLO 2024 - 2027'!$M$4</f>
        <v>0.24028917333263158</v>
      </c>
      <c r="C1266" s="869" t="s">
        <v>2153</v>
      </c>
      <c r="D1266" s="878">
        <f>'[1]PLAN DE DESARROLLO 2024 - 2027'!$M$34</f>
        <v>0.12535549571208945</v>
      </c>
      <c r="E1266" s="869" t="s">
        <v>2180</v>
      </c>
      <c r="F1266" s="879">
        <f>[2]Hoja1!$B$53</f>
        <v>0.32931501831501825</v>
      </c>
      <c r="G1266" s="869" t="s">
        <v>330</v>
      </c>
      <c r="H1266" s="869" t="s">
        <v>331</v>
      </c>
      <c r="I1266" s="869"/>
      <c r="J1266" s="869" t="s">
        <v>297</v>
      </c>
      <c r="K1266" s="880" t="s">
        <v>2264</v>
      </c>
    </row>
    <row r="1267" spans="1:11" s="866" customFormat="1" ht="28.8" x14ac:dyDescent="0.3">
      <c r="A1267" s="869" t="s">
        <v>2151</v>
      </c>
      <c r="B1267" s="877">
        <f>'[1]PLAN DE DESARROLLO 2024 - 2027'!$M$4</f>
        <v>0.24028917333263158</v>
      </c>
      <c r="C1267" s="869" t="s">
        <v>2153</v>
      </c>
      <c r="D1267" s="878">
        <f>'[1]PLAN DE DESARROLLO 2024 - 2027'!$M$34</f>
        <v>0.12535549571208945</v>
      </c>
      <c r="E1267" s="869" t="s">
        <v>2180</v>
      </c>
      <c r="F1267" s="879">
        <f>[2]Hoja1!$B$53</f>
        <v>0.32931501831501825</v>
      </c>
      <c r="G1267" s="869" t="s">
        <v>332</v>
      </c>
      <c r="H1267" s="869" t="s">
        <v>333</v>
      </c>
      <c r="I1267" s="869"/>
      <c r="J1267" s="869" t="s">
        <v>297</v>
      </c>
      <c r="K1267" s="880" t="s">
        <v>2264</v>
      </c>
    </row>
    <row r="1268" spans="1:11" s="866" customFormat="1" ht="43.2" x14ac:dyDescent="0.3">
      <c r="A1268" s="869" t="s">
        <v>2151</v>
      </c>
      <c r="B1268" s="877">
        <f>'[1]PLAN DE DESARROLLO 2024 - 2027'!$M$4</f>
        <v>0.24028917333263158</v>
      </c>
      <c r="C1268" s="869" t="s">
        <v>2153</v>
      </c>
      <c r="D1268" s="878">
        <f>'[1]PLAN DE DESARROLLO 2024 - 2027'!$M$34</f>
        <v>0.12535549571208945</v>
      </c>
      <c r="E1268" s="869" t="s">
        <v>2180</v>
      </c>
      <c r="F1268" s="879">
        <f>[2]Hoja1!$B$53</f>
        <v>0.32931501831501825</v>
      </c>
      <c r="G1268" s="869" t="s">
        <v>334</v>
      </c>
      <c r="H1268" s="869" t="s">
        <v>335</v>
      </c>
      <c r="I1268" s="869"/>
      <c r="J1268" s="869" t="s">
        <v>297</v>
      </c>
      <c r="K1268" s="880" t="s">
        <v>2264</v>
      </c>
    </row>
    <row r="1269" spans="1:11" s="866" customFormat="1" ht="28.8" x14ac:dyDescent="0.3">
      <c r="A1269" s="869" t="s">
        <v>2118</v>
      </c>
      <c r="B1269" s="881">
        <f>'[1]PLAN DE DESARROLLO 2024 - 2027'!$M$161</f>
        <v>0.24647581985093744</v>
      </c>
      <c r="C1269" s="869" t="s">
        <v>2120</v>
      </c>
      <c r="D1269" s="878">
        <f>'[1]PLAN DE DESARROLLO 2024 - 2027'!$M$166</f>
        <v>0.23451309458253802</v>
      </c>
      <c r="E1269" s="869" t="s">
        <v>2121</v>
      </c>
      <c r="F1269" s="879">
        <f>[2]Hoja1!$B$141</f>
        <v>0.15</v>
      </c>
      <c r="G1269" s="869" t="s">
        <v>979</v>
      </c>
      <c r="H1269" s="869" t="s">
        <v>1180</v>
      </c>
      <c r="I1269" s="869"/>
      <c r="J1269" s="869" t="s">
        <v>516</v>
      </c>
      <c r="K1269" s="880" t="s">
        <v>2264</v>
      </c>
    </row>
    <row r="1270" spans="1:11" s="866" customFormat="1" ht="28.8" x14ac:dyDescent="0.3">
      <c r="A1270" s="869" t="s">
        <v>2118</v>
      </c>
      <c r="B1270" s="881">
        <f>'[1]PLAN DE DESARROLLO 2024 - 2027'!$M$161</f>
        <v>0.24647581985093744</v>
      </c>
      <c r="C1270" s="869" t="s">
        <v>2120</v>
      </c>
      <c r="D1270" s="878">
        <f>'[1]PLAN DE DESARROLLO 2024 - 2027'!$M$166</f>
        <v>0.23451309458253802</v>
      </c>
      <c r="E1270" s="869" t="s">
        <v>2121</v>
      </c>
      <c r="F1270" s="879">
        <f>[2]Hoja1!$B$141</f>
        <v>0.15</v>
      </c>
      <c r="G1270" s="869" t="s">
        <v>980</v>
      </c>
      <c r="H1270" s="869" t="s">
        <v>1181</v>
      </c>
      <c r="I1270" s="869"/>
      <c r="J1270" s="869" t="s">
        <v>516</v>
      </c>
      <c r="K1270" s="880" t="s">
        <v>2264</v>
      </c>
    </row>
    <row r="1271" spans="1:11" s="866" customFormat="1" ht="28.8" x14ac:dyDescent="0.3">
      <c r="A1271" s="869" t="s">
        <v>2118</v>
      </c>
      <c r="B1271" s="881">
        <f>'[1]PLAN DE DESARROLLO 2024 - 2027'!$M$161</f>
        <v>0.24647581985093744</v>
      </c>
      <c r="C1271" s="869" t="s">
        <v>2120</v>
      </c>
      <c r="D1271" s="878">
        <f>'[1]PLAN DE DESARROLLO 2024 - 2027'!$M$166</f>
        <v>0.23451309458253802</v>
      </c>
      <c r="E1271" s="869" t="s">
        <v>2121</v>
      </c>
      <c r="F1271" s="879">
        <f>[2]Hoja1!$B$141</f>
        <v>0.15</v>
      </c>
      <c r="G1271" s="869" t="s">
        <v>981</v>
      </c>
      <c r="H1271" s="869" t="s">
        <v>1182</v>
      </c>
      <c r="I1271" s="869"/>
      <c r="J1271" s="869" t="s">
        <v>516</v>
      </c>
      <c r="K1271" s="880" t="s">
        <v>2264</v>
      </c>
    </row>
    <row r="1272" spans="1:11" s="866" customFormat="1" ht="28.8" x14ac:dyDescent="0.3">
      <c r="A1272" s="869" t="s">
        <v>2151</v>
      </c>
      <c r="B1272" s="877">
        <f>'[1]PLAN DE DESARROLLO 2024 - 2027'!$M$4</f>
        <v>0.24028917333263158</v>
      </c>
      <c r="C1272" s="869" t="s">
        <v>2153</v>
      </c>
      <c r="D1272" s="878">
        <f>'[1]PLAN DE DESARROLLO 2024 - 2027'!$M$34</f>
        <v>0.12535549571208945</v>
      </c>
      <c r="E1272" s="869" t="s">
        <v>1620</v>
      </c>
      <c r="F1272" s="879">
        <f>[2]Hoja1!$B$56</f>
        <v>0.25921388888888885</v>
      </c>
      <c r="G1272" s="869" t="s">
        <v>306</v>
      </c>
      <c r="H1272" s="869" t="s">
        <v>307</v>
      </c>
      <c r="I1272" s="869"/>
      <c r="J1272" s="869" t="s">
        <v>297</v>
      </c>
      <c r="K1272" s="880" t="s">
        <v>2264</v>
      </c>
    </row>
    <row r="1273" spans="1:11" s="866" customFormat="1" ht="28.8" x14ac:dyDescent="0.3">
      <c r="A1273" s="869" t="s">
        <v>2151</v>
      </c>
      <c r="B1273" s="877">
        <f>'[1]PLAN DE DESARROLLO 2024 - 2027'!$M$4</f>
        <v>0.24028917333263158</v>
      </c>
      <c r="C1273" s="869" t="s">
        <v>2153</v>
      </c>
      <c r="D1273" s="878">
        <f>'[1]PLAN DE DESARROLLO 2024 - 2027'!$M$34</f>
        <v>0.12535549571208945</v>
      </c>
      <c r="E1273" s="869" t="s">
        <v>1620</v>
      </c>
      <c r="F1273" s="879">
        <f>[2]Hoja1!$B$56</f>
        <v>0.25921388888888885</v>
      </c>
      <c r="G1273" s="869" t="s">
        <v>308</v>
      </c>
      <c r="H1273" s="869" t="s">
        <v>309</v>
      </c>
      <c r="I1273" s="869"/>
      <c r="J1273" s="869" t="s">
        <v>297</v>
      </c>
      <c r="K1273" s="880" t="s">
        <v>2264</v>
      </c>
    </row>
    <row r="1274" spans="1:11" s="866" customFormat="1" ht="28.8" x14ac:dyDescent="0.3">
      <c r="A1274" s="869" t="s">
        <v>2151</v>
      </c>
      <c r="B1274" s="877">
        <f>'[1]PLAN DE DESARROLLO 2024 - 2027'!$M$4</f>
        <v>0.24028917333263158</v>
      </c>
      <c r="C1274" s="869" t="s">
        <v>2153</v>
      </c>
      <c r="D1274" s="878">
        <f>'[1]PLAN DE DESARROLLO 2024 - 2027'!$M$34</f>
        <v>0.12535549571208945</v>
      </c>
      <c r="E1274" s="869" t="s">
        <v>1620</v>
      </c>
      <c r="F1274" s="879">
        <f>[2]Hoja1!$B$56</f>
        <v>0.25921388888888885</v>
      </c>
      <c r="G1274" s="869" t="s">
        <v>310</v>
      </c>
      <c r="H1274" s="869" t="s">
        <v>2178</v>
      </c>
      <c r="I1274" s="869"/>
      <c r="J1274" s="869" t="s">
        <v>297</v>
      </c>
      <c r="K1274" s="880" t="s">
        <v>2264</v>
      </c>
    </row>
    <row r="1275" spans="1:11" s="866" customFormat="1" ht="28.8" x14ac:dyDescent="0.3">
      <c r="A1275" s="869" t="s">
        <v>2151</v>
      </c>
      <c r="B1275" s="877">
        <f>'[1]PLAN DE DESARROLLO 2024 - 2027'!$M$4</f>
        <v>0.24028917333263158</v>
      </c>
      <c r="C1275" s="869" t="s">
        <v>2153</v>
      </c>
      <c r="D1275" s="878">
        <f>'[1]PLAN DE DESARROLLO 2024 - 2027'!$M$34</f>
        <v>0.12535549571208945</v>
      </c>
      <c r="E1275" s="869" t="s">
        <v>1620</v>
      </c>
      <c r="F1275" s="879">
        <f>[2]Hoja1!$B$56</f>
        <v>0.25921388888888885</v>
      </c>
      <c r="G1275" s="869" t="s">
        <v>312</v>
      </c>
      <c r="H1275" s="869" t="s">
        <v>313</v>
      </c>
      <c r="I1275" s="869"/>
      <c r="J1275" s="869" t="s">
        <v>297</v>
      </c>
      <c r="K1275" s="880" t="s">
        <v>2264</v>
      </c>
    </row>
    <row r="1276" spans="1:11" s="866" customFormat="1" ht="43.2" x14ac:dyDescent="0.3">
      <c r="A1276" s="869" t="s">
        <v>2151</v>
      </c>
      <c r="B1276" s="877">
        <f>'[1]PLAN DE DESARROLLO 2024 - 2027'!$M$4</f>
        <v>0.24028917333263158</v>
      </c>
      <c r="C1276" s="869" t="s">
        <v>2153</v>
      </c>
      <c r="D1276" s="878">
        <f>'[1]PLAN DE DESARROLLO 2024 - 2027'!$M$34</f>
        <v>0.12535549571208945</v>
      </c>
      <c r="E1276" s="869" t="s">
        <v>2183</v>
      </c>
      <c r="F1276" s="879">
        <f>[2]Hoja1!$B$77</f>
        <v>0.24230769230769231</v>
      </c>
      <c r="G1276" s="869" t="s">
        <v>350</v>
      </c>
      <c r="H1276" s="869" t="s">
        <v>351</v>
      </c>
      <c r="I1276" s="869"/>
      <c r="J1276" s="869" t="s">
        <v>516</v>
      </c>
      <c r="K1276" s="880" t="s">
        <v>2264</v>
      </c>
    </row>
    <row r="1277" spans="1:11" s="866" customFormat="1" ht="43.2" x14ac:dyDescent="0.3">
      <c r="A1277" s="869" t="s">
        <v>2151</v>
      </c>
      <c r="B1277" s="877">
        <f>'[1]PLAN DE DESARROLLO 2024 - 2027'!$M$4</f>
        <v>0.24028917333263158</v>
      </c>
      <c r="C1277" s="869" t="s">
        <v>2153</v>
      </c>
      <c r="D1277" s="878">
        <f>'[1]PLAN DE DESARROLLO 2024 - 2027'!$M$34</f>
        <v>0.12535549571208945</v>
      </c>
      <c r="E1277" s="869" t="s">
        <v>2183</v>
      </c>
      <c r="F1277" s="879">
        <f>[2]Hoja1!$B$77</f>
        <v>0.24230769230769231</v>
      </c>
      <c r="G1277" s="869" t="s">
        <v>353</v>
      </c>
      <c r="H1277" s="869" t="s">
        <v>354</v>
      </c>
      <c r="I1277" s="869"/>
      <c r="J1277" s="869" t="s">
        <v>516</v>
      </c>
      <c r="K1277" s="880" t="s">
        <v>2264</v>
      </c>
    </row>
    <row r="1278" spans="1:11" s="866" customFormat="1" ht="28.8" x14ac:dyDescent="0.3">
      <c r="A1278" s="869" t="s">
        <v>2151</v>
      </c>
      <c r="B1278" s="877">
        <f>'[1]PLAN DE DESARROLLO 2024 - 2027'!$M$4</f>
        <v>0.24028917333263158</v>
      </c>
      <c r="C1278" s="869" t="s">
        <v>2153</v>
      </c>
      <c r="D1278" s="878">
        <f>'[1]PLAN DE DESARROLLO 2024 - 2027'!$M$34</f>
        <v>0.12535549571208945</v>
      </c>
      <c r="E1278" s="869" t="s">
        <v>2182</v>
      </c>
      <c r="F1278" s="879">
        <f>[2]Hoja1!$B$78</f>
        <v>0.16944444444444445</v>
      </c>
      <c r="G1278" s="869" t="s">
        <v>346</v>
      </c>
      <c r="H1278" s="869" t="s">
        <v>347</v>
      </c>
      <c r="I1278" s="869"/>
      <c r="J1278" s="869" t="s">
        <v>297</v>
      </c>
      <c r="K1278" s="880" t="s">
        <v>2264</v>
      </c>
    </row>
    <row r="1279" spans="1:11" s="866" customFormat="1" ht="28.8" x14ac:dyDescent="0.3">
      <c r="A1279" s="869" t="s">
        <v>2151</v>
      </c>
      <c r="B1279" s="877">
        <f>'[1]PLAN DE DESARROLLO 2024 - 2027'!$M$4</f>
        <v>0.24028917333263158</v>
      </c>
      <c r="C1279" s="869" t="s">
        <v>2153</v>
      </c>
      <c r="D1279" s="878">
        <f>'[1]PLAN DE DESARROLLO 2024 - 2027'!$M$34</f>
        <v>0.12535549571208945</v>
      </c>
      <c r="E1279" s="869" t="s">
        <v>2182</v>
      </c>
      <c r="F1279" s="879">
        <f>[2]Hoja1!$B$78</f>
        <v>0.16944444444444445</v>
      </c>
      <c r="G1279" s="869" t="s">
        <v>348</v>
      </c>
      <c r="H1279" s="869" t="s">
        <v>349</v>
      </c>
      <c r="I1279" s="869"/>
      <c r="J1279" s="869" t="s">
        <v>297</v>
      </c>
      <c r="K1279" s="880" t="s">
        <v>2264</v>
      </c>
    </row>
    <row r="1280" spans="1:11" s="866" customFormat="1" ht="43.2" x14ac:dyDescent="0.3">
      <c r="A1280" s="869" t="s">
        <v>2076</v>
      </c>
      <c r="B1280" s="881">
        <f>'[1]PLAN DE DESARROLLO 2024 - 2027'!$M$92</f>
        <v>0.25050860314981654</v>
      </c>
      <c r="C1280" s="869" t="s">
        <v>2094</v>
      </c>
      <c r="D1280" s="878">
        <f>'[1]PLAN DE DESARROLLO 2024 - 2027'!$M$120</f>
        <v>0.19011249999999999</v>
      </c>
      <c r="E1280" s="869" t="s">
        <v>2096</v>
      </c>
      <c r="F1280" s="879">
        <f>[2]Hoja1!$B$107</f>
        <v>0.3775</v>
      </c>
      <c r="G1280" s="869" t="s">
        <v>712</v>
      </c>
      <c r="H1280" s="869" t="s">
        <v>1416</v>
      </c>
      <c r="I1280" s="869"/>
      <c r="J1280" s="869" t="s">
        <v>516</v>
      </c>
      <c r="K1280" s="880" t="s">
        <v>2264</v>
      </c>
    </row>
    <row r="1281" spans="1:11" s="866" customFormat="1" ht="28.8" x14ac:dyDescent="0.3">
      <c r="A1281" s="869" t="s">
        <v>2076</v>
      </c>
      <c r="B1281" s="881">
        <f>'[1]PLAN DE DESARROLLO 2024 - 2027'!$M$92</f>
        <v>0.25050860314981654</v>
      </c>
      <c r="C1281" s="869" t="s">
        <v>2094</v>
      </c>
      <c r="D1281" s="878">
        <f>'[1]PLAN DE DESARROLLO 2024 - 2027'!$M$120</f>
        <v>0.19011249999999999</v>
      </c>
      <c r="E1281" s="869" t="s">
        <v>2096</v>
      </c>
      <c r="F1281" s="879">
        <f>[2]Hoja1!$B$107</f>
        <v>0.3775</v>
      </c>
      <c r="G1281" s="869" t="s">
        <v>713</v>
      </c>
      <c r="H1281" s="869" t="s">
        <v>1417</v>
      </c>
      <c r="I1281" s="869"/>
      <c r="J1281" s="869" t="s">
        <v>516</v>
      </c>
      <c r="K1281" s="880" t="s">
        <v>2264</v>
      </c>
    </row>
    <row r="1282" spans="1:11" s="866" customFormat="1" ht="28.8" x14ac:dyDescent="0.3">
      <c r="A1282" s="869" t="s">
        <v>2076</v>
      </c>
      <c r="B1282" s="881">
        <f>'[1]PLAN DE DESARROLLO 2024 - 2027'!$M$92</f>
        <v>0.25050860314981654</v>
      </c>
      <c r="C1282" s="869" t="s">
        <v>2078</v>
      </c>
      <c r="D1282" s="878">
        <f>'[1]PLAN DE DESARROLLO 2024 - 2027'!$M$110</f>
        <v>0.16375000000000001</v>
      </c>
      <c r="E1282" s="869" t="s">
        <v>2104</v>
      </c>
      <c r="F1282" s="879">
        <f>[2]Hoja1!$B$88</f>
        <v>6.9666666666666668E-2</v>
      </c>
      <c r="G1282" s="869" t="s">
        <v>763</v>
      </c>
      <c r="H1282" s="869" t="s">
        <v>1460</v>
      </c>
      <c r="I1282" s="869"/>
      <c r="J1282" s="869" t="s">
        <v>736</v>
      </c>
      <c r="K1282" s="880" t="s">
        <v>2264</v>
      </c>
    </row>
    <row r="1283" spans="1:11" s="866" customFormat="1" ht="28.8" x14ac:dyDescent="0.3">
      <c r="A1283" s="869" t="s">
        <v>2076</v>
      </c>
      <c r="B1283" s="881">
        <f>'[1]PLAN DE DESARROLLO 2024 - 2027'!$M$92</f>
        <v>0.25050860314981654</v>
      </c>
      <c r="C1283" s="869" t="s">
        <v>2078</v>
      </c>
      <c r="D1283" s="878">
        <f>'[1]PLAN DE DESARROLLO 2024 - 2027'!$M$110</f>
        <v>0.16375000000000001</v>
      </c>
      <c r="E1283" s="869" t="s">
        <v>2104</v>
      </c>
      <c r="F1283" s="879">
        <f>[2]Hoja1!$B$87</f>
        <v>0.8</v>
      </c>
      <c r="G1283" s="869" t="s">
        <v>764</v>
      </c>
      <c r="H1283" s="869" t="s">
        <v>1461</v>
      </c>
      <c r="I1283" s="869"/>
      <c r="J1283" s="869" t="s">
        <v>736</v>
      </c>
      <c r="K1283" s="880" t="s">
        <v>2264</v>
      </c>
    </row>
    <row r="1284" spans="1:11" s="866" customFormat="1" ht="28.8" x14ac:dyDescent="0.3">
      <c r="A1284" s="869" t="s">
        <v>2118</v>
      </c>
      <c r="B1284" s="881">
        <f>'[1]PLAN DE DESARROLLO 2024 - 2027'!$M$161</f>
        <v>0.24647581985093744</v>
      </c>
      <c r="C1284" s="869" t="s">
        <v>2136</v>
      </c>
      <c r="D1284" s="878">
        <f>'[1]PLAN DE DESARROLLO 2024 - 2027'!$M$178</f>
        <v>0.30658085759781617</v>
      </c>
      <c r="E1284" s="869" t="s">
        <v>2137</v>
      </c>
      <c r="F1284" s="879">
        <f>[2]Hoja1!$B$145</f>
        <v>0.46846678798908098</v>
      </c>
      <c r="G1284" s="869" t="s">
        <v>997</v>
      </c>
      <c r="H1284" s="869" t="s">
        <v>1197</v>
      </c>
      <c r="I1284" s="869"/>
      <c r="J1284" s="869" t="s">
        <v>998</v>
      </c>
      <c r="K1284" s="880" t="s">
        <v>2264</v>
      </c>
    </row>
    <row r="1285" spans="1:11" s="866" customFormat="1" ht="43.2" x14ac:dyDescent="0.3">
      <c r="A1285" s="869" t="s">
        <v>2118</v>
      </c>
      <c r="B1285" s="881">
        <f>'[1]PLAN DE DESARROLLO 2024 - 2027'!$M$161</f>
        <v>0.24647581985093744</v>
      </c>
      <c r="C1285" s="869" t="s">
        <v>2136</v>
      </c>
      <c r="D1285" s="878">
        <f>'[1]PLAN DE DESARROLLO 2024 - 2027'!$M$178</f>
        <v>0.30658085759781617</v>
      </c>
      <c r="E1285" s="869" t="s">
        <v>2137</v>
      </c>
      <c r="F1285" s="879">
        <f>[2]Hoja1!$B$145</f>
        <v>0.46846678798908098</v>
      </c>
      <c r="G1285" s="869" t="s">
        <v>999</v>
      </c>
      <c r="H1285" s="869" t="s">
        <v>1198</v>
      </c>
      <c r="I1285" s="869"/>
      <c r="J1285" s="869" t="s">
        <v>998</v>
      </c>
      <c r="K1285" s="880" t="s">
        <v>2264</v>
      </c>
    </row>
    <row r="1286" spans="1:11" s="866" customFormat="1" ht="28.8" x14ac:dyDescent="0.3">
      <c r="A1286" s="869" t="s">
        <v>2151</v>
      </c>
      <c r="B1286" s="877">
        <f>'[1]PLAN DE DESARROLLO 2024 - 2027'!$M$4</f>
        <v>0.24028917333263158</v>
      </c>
      <c r="C1286" s="869" t="s">
        <v>2153</v>
      </c>
      <c r="D1286" s="878">
        <f>'[1]PLAN DE DESARROLLO 2024 - 2027'!$M$34</f>
        <v>0.12535549571208945</v>
      </c>
      <c r="E1286" s="869" t="s">
        <v>1621</v>
      </c>
      <c r="F1286" s="879">
        <f>[2]Hoja1!$B$89</f>
        <v>0</v>
      </c>
      <c r="G1286" s="869" t="s">
        <v>314</v>
      </c>
      <c r="H1286" s="869" t="s">
        <v>315</v>
      </c>
      <c r="I1286" s="869"/>
      <c r="J1286" s="869" t="s">
        <v>297</v>
      </c>
      <c r="K1286" s="880" t="s">
        <v>2264</v>
      </c>
    </row>
    <row r="1287" spans="1:11" s="866" customFormat="1" ht="28.8" x14ac:dyDescent="0.3">
      <c r="A1287" s="869" t="s">
        <v>2151</v>
      </c>
      <c r="B1287" s="877">
        <f>'[1]PLAN DE DESARROLLO 2024 - 2027'!$M$4</f>
        <v>0.24028917333263158</v>
      </c>
      <c r="C1287" s="869" t="s">
        <v>2153</v>
      </c>
      <c r="D1287" s="878">
        <f>'[1]PLAN DE DESARROLLO 2024 - 2027'!$M$34</f>
        <v>0.12535549571208945</v>
      </c>
      <c r="E1287" s="869" t="s">
        <v>2176</v>
      </c>
      <c r="F1287" s="879">
        <f>[2]Hoja1!$B$91</f>
        <v>0.15378125000000001</v>
      </c>
      <c r="G1287" s="869" t="s">
        <v>295</v>
      </c>
      <c r="H1287" s="869" t="s">
        <v>296</v>
      </c>
      <c r="I1287" s="869"/>
      <c r="J1287" s="869" t="s">
        <v>297</v>
      </c>
      <c r="K1287" s="880" t="s">
        <v>2264</v>
      </c>
    </row>
    <row r="1288" spans="1:11" s="866" customFormat="1" ht="28.8" x14ac:dyDescent="0.3">
      <c r="A1288" s="869" t="s">
        <v>2151</v>
      </c>
      <c r="B1288" s="877">
        <f>'[1]PLAN DE DESARROLLO 2024 - 2027'!$M$4</f>
        <v>0.24028917333263158</v>
      </c>
      <c r="C1288" s="869" t="s">
        <v>2153</v>
      </c>
      <c r="D1288" s="878">
        <f>'[1]PLAN DE DESARROLLO 2024 - 2027'!$M$34</f>
        <v>0.12535549571208945</v>
      </c>
      <c r="E1288" s="869" t="s">
        <v>2176</v>
      </c>
      <c r="F1288" s="879">
        <f>[2]Hoja1!$B$91</f>
        <v>0.15378125000000001</v>
      </c>
      <c r="G1288" s="869" t="s">
        <v>298</v>
      </c>
      <c r="H1288" s="869" t="s">
        <v>299</v>
      </c>
      <c r="I1288" s="869"/>
      <c r="J1288" s="869" t="s">
        <v>297</v>
      </c>
      <c r="K1288" s="880" t="s">
        <v>2264</v>
      </c>
    </row>
    <row r="1289" spans="1:11" s="866" customFormat="1" ht="28.8" x14ac:dyDescent="0.3">
      <c r="A1289" s="869" t="s">
        <v>2151</v>
      </c>
      <c r="B1289" s="877">
        <f>'[1]PLAN DE DESARROLLO 2024 - 2027'!$M$4</f>
        <v>0.24028917333263158</v>
      </c>
      <c r="C1289" s="869" t="s">
        <v>2153</v>
      </c>
      <c r="D1289" s="878">
        <f>'[1]PLAN DE DESARROLLO 2024 - 2027'!$M$34</f>
        <v>0.12535549571208945</v>
      </c>
      <c r="E1289" s="869" t="s">
        <v>1622</v>
      </c>
      <c r="F1289" s="879">
        <f>[2]Hoja1!$B$94</f>
        <v>0.15668414473684211</v>
      </c>
      <c r="G1289" s="869" t="s">
        <v>316</v>
      </c>
      <c r="H1289" s="869" t="s">
        <v>317</v>
      </c>
      <c r="I1289" s="869"/>
      <c r="J1289" s="869" t="s">
        <v>297</v>
      </c>
      <c r="K1289" s="880" t="s">
        <v>2264</v>
      </c>
    </row>
    <row r="1290" spans="1:11" s="866" customFormat="1" ht="28.8" x14ac:dyDescent="0.3">
      <c r="A1290" s="869" t="s">
        <v>2151</v>
      </c>
      <c r="B1290" s="877">
        <f>'[1]PLAN DE DESARROLLO 2024 - 2027'!$M$4</f>
        <v>0.24028917333263158</v>
      </c>
      <c r="C1290" s="869" t="s">
        <v>2153</v>
      </c>
      <c r="D1290" s="878">
        <f>'[1]PLAN DE DESARROLLO 2024 - 2027'!$M$34</f>
        <v>0.12535549571208945</v>
      </c>
      <c r="E1290" s="869" t="s">
        <v>1622</v>
      </c>
      <c r="F1290" s="879">
        <f>[2]Hoja1!$B$94</f>
        <v>0.15668414473684211</v>
      </c>
      <c r="G1290" s="869" t="s">
        <v>318</v>
      </c>
      <c r="H1290" s="869" t="s">
        <v>319</v>
      </c>
      <c r="I1290" s="869"/>
      <c r="J1290" s="869" t="s">
        <v>297</v>
      </c>
      <c r="K1290" s="880" t="s">
        <v>2264</v>
      </c>
    </row>
    <row r="1291" spans="1:11" s="866" customFormat="1" ht="28.8" x14ac:dyDescent="0.3">
      <c r="A1291" s="869" t="s">
        <v>2151</v>
      </c>
      <c r="B1291" s="877">
        <f>'[1]PLAN DE DESARROLLO 2024 - 2027'!$M$4</f>
        <v>0.24028917333263158</v>
      </c>
      <c r="C1291" s="869" t="s">
        <v>2153</v>
      </c>
      <c r="D1291" s="878">
        <f>'[1]PLAN DE DESARROLLO 2024 - 2027'!$M$34</f>
        <v>0.12535549571208945</v>
      </c>
      <c r="E1291" s="869" t="s">
        <v>1622</v>
      </c>
      <c r="F1291" s="879">
        <f>[2]Hoja1!$B$94</f>
        <v>0.15668414473684211</v>
      </c>
      <c r="G1291" s="869" t="s">
        <v>320</v>
      </c>
      <c r="H1291" s="869" t="s">
        <v>321</v>
      </c>
      <c r="I1291" s="869"/>
      <c r="J1291" s="869" t="s">
        <v>297</v>
      </c>
      <c r="K1291" s="880" t="s">
        <v>2264</v>
      </c>
    </row>
    <row r="1292" spans="1:11" s="866" customFormat="1" ht="28.8" x14ac:dyDescent="0.3">
      <c r="A1292" s="869" t="s">
        <v>2151</v>
      </c>
      <c r="B1292" s="877">
        <f>'[1]PLAN DE DESARROLLO 2024 - 2027'!$M$4</f>
        <v>0.24028917333263158</v>
      </c>
      <c r="C1292" s="869" t="s">
        <v>2153</v>
      </c>
      <c r="D1292" s="878">
        <f>'[1]PLAN DE DESARROLLO 2024 - 2027'!$M$34</f>
        <v>0.12535549571208945</v>
      </c>
      <c r="E1292" s="869" t="s">
        <v>1622</v>
      </c>
      <c r="F1292" s="879">
        <f>[2]Hoja1!$B$94</f>
        <v>0.15668414473684211</v>
      </c>
      <c r="G1292" s="869" t="s">
        <v>322</v>
      </c>
      <c r="H1292" s="869" t="s">
        <v>323</v>
      </c>
      <c r="I1292" s="869"/>
      <c r="J1292" s="869" t="s">
        <v>297</v>
      </c>
      <c r="K1292" s="880" t="s">
        <v>2264</v>
      </c>
    </row>
    <row r="1293" spans="1:11" s="866" customFormat="1" ht="28.8" x14ac:dyDescent="0.3">
      <c r="A1293" s="869" t="s">
        <v>2118</v>
      </c>
      <c r="B1293" s="881">
        <f>'[1]PLAN DE DESARROLLO 2024 - 2027'!$M$161</f>
        <v>0.24647581985093744</v>
      </c>
      <c r="C1293" s="869" t="s">
        <v>2142</v>
      </c>
      <c r="D1293" s="878">
        <f>'[1]PLAN DE DESARROLLO 2024 - 2027'!$M$191</f>
        <v>0.22981556695992181</v>
      </c>
      <c r="E1293" s="869" t="s">
        <v>2144</v>
      </c>
      <c r="F1293" s="879">
        <f>[2]Hoja1!$B$148</f>
        <v>0.23404772727272727</v>
      </c>
      <c r="G1293" s="869" t="s">
        <v>2145</v>
      </c>
      <c r="H1293" s="869" t="s">
        <v>1240</v>
      </c>
      <c r="I1293" s="869"/>
      <c r="J1293" s="869" t="s">
        <v>560</v>
      </c>
      <c r="K1293" s="880" t="s">
        <v>2264</v>
      </c>
    </row>
    <row r="1294" spans="1:11" s="866" customFormat="1" ht="28.8" x14ac:dyDescent="0.3">
      <c r="A1294" s="869" t="s">
        <v>2118</v>
      </c>
      <c r="B1294" s="881">
        <f>'[1]PLAN DE DESARROLLO 2024 - 2027'!$M$161</f>
        <v>0.24647581985093744</v>
      </c>
      <c r="C1294" s="869" t="s">
        <v>2142</v>
      </c>
      <c r="D1294" s="878">
        <f>'[1]PLAN DE DESARROLLO 2024 - 2027'!$M$191</f>
        <v>0.22981556695992181</v>
      </c>
      <c r="E1294" s="869" t="s">
        <v>2144</v>
      </c>
      <c r="F1294" s="879">
        <f>[2]Hoja1!$B$148</f>
        <v>0.23404772727272727</v>
      </c>
      <c r="G1294" s="869" t="s">
        <v>1044</v>
      </c>
      <c r="H1294" s="869" t="s">
        <v>1241</v>
      </c>
      <c r="I1294" s="869"/>
      <c r="J1294" s="869" t="s">
        <v>560</v>
      </c>
      <c r="K1294" s="880" t="s">
        <v>2264</v>
      </c>
    </row>
    <row r="1295" spans="1:11" s="866" customFormat="1" ht="28.8" x14ac:dyDescent="0.3">
      <c r="A1295" s="869" t="s">
        <v>2118</v>
      </c>
      <c r="B1295" s="881">
        <f>'[1]PLAN DE DESARROLLO 2024 - 2027'!$M$161</f>
        <v>0.24647581985093744</v>
      </c>
      <c r="C1295" s="869" t="s">
        <v>2142</v>
      </c>
      <c r="D1295" s="878">
        <f>'[1]PLAN DE DESARROLLO 2024 - 2027'!$M$191</f>
        <v>0.22981556695992181</v>
      </c>
      <c r="E1295" s="869" t="s">
        <v>2144</v>
      </c>
      <c r="F1295" s="879">
        <f>[2]Hoja1!$B$148</f>
        <v>0.23404772727272727</v>
      </c>
      <c r="G1295" s="869" t="s">
        <v>1045</v>
      </c>
      <c r="H1295" s="869" t="s">
        <v>1242</v>
      </c>
      <c r="I1295" s="869"/>
      <c r="J1295" s="869" t="s">
        <v>560</v>
      </c>
      <c r="K1295" s="880" t="s">
        <v>2264</v>
      </c>
    </row>
    <row r="1296" spans="1:11" s="866" customFormat="1" ht="28.8" x14ac:dyDescent="0.3">
      <c r="A1296" s="869" t="s">
        <v>2118</v>
      </c>
      <c r="B1296" s="881">
        <f>'[1]PLAN DE DESARROLLO 2024 - 2027'!$M$161</f>
        <v>0.24647581985093744</v>
      </c>
      <c r="C1296" s="869" t="s">
        <v>2142</v>
      </c>
      <c r="D1296" s="878">
        <f>'[1]PLAN DE DESARROLLO 2024 - 2027'!$M$191</f>
        <v>0.22981556695992181</v>
      </c>
      <c r="E1296" s="869" t="s">
        <v>2144</v>
      </c>
      <c r="F1296" s="879">
        <f>[2]Hoja1!$B$148</f>
        <v>0.23404772727272727</v>
      </c>
      <c r="G1296" s="869" t="s">
        <v>1046</v>
      </c>
      <c r="H1296" s="869" t="s">
        <v>1243</v>
      </c>
      <c r="I1296" s="869"/>
      <c r="J1296" s="869" t="s">
        <v>560</v>
      </c>
      <c r="K1296" s="880" t="s">
        <v>2264</v>
      </c>
    </row>
    <row r="1297" spans="1:11" s="866" customFormat="1" ht="43.2" x14ac:dyDescent="0.3">
      <c r="A1297" s="869" t="s">
        <v>2118</v>
      </c>
      <c r="B1297" s="881">
        <f>'[1]PLAN DE DESARROLLO 2024 - 2027'!$M$161</f>
        <v>0.24647581985093744</v>
      </c>
      <c r="C1297" s="869" t="s">
        <v>2142</v>
      </c>
      <c r="D1297" s="878">
        <f>'[1]PLAN DE DESARROLLO 2024 - 2027'!$M$191</f>
        <v>0.22981556695992181</v>
      </c>
      <c r="E1297" s="869" t="s">
        <v>2144</v>
      </c>
      <c r="F1297" s="879">
        <f>[2]Hoja1!$B$148</f>
        <v>0.23404772727272727</v>
      </c>
      <c r="G1297" s="869" t="s">
        <v>1047</v>
      </c>
      <c r="H1297" s="869" t="s">
        <v>1244</v>
      </c>
      <c r="I1297" s="869"/>
      <c r="J1297" s="869" t="s">
        <v>560</v>
      </c>
      <c r="K1297" s="880" t="s">
        <v>2264</v>
      </c>
    </row>
    <row r="1298" spans="1:11" s="866" customFormat="1" ht="43.2" x14ac:dyDescent="0.3">
      <c r="A1298" s="869" t="s">
        <v>2118</v>
      </c>
      <c r="B1298" s="881">
        <f>'[1]PLAN DE DESARROLLO 2024 - 2027'!$M$161</f>
        <v>0.24647581985093744</v>
      </c>
      <c r="C1298" s="869" t="s">
        <v>2142</v>
      </c>
      <c r="D1298" s="878">
        <f>'[1]PLAN DE DESARROLLO 2024 - 2027'!$M$191</f>
        <v>0.22981556695992181</v>
      </c>
      <c r="E1298" s="869" t="s">
        <v>2144</v>
      </c>
      <c r="F1298" s="879">
        <f>[2]Hoja1!$B$148</f>
        <v>0.23404772727272727</v>
      </c>
      <c r="G1298" s="869" t="s">
        <v>1048</v>
      </c>
      <c r="H1298" s="869" t="s">
        <v>1245</v>
      </c>
      <c r="I1298" s="869"/>
      <c r="J1298" s="869" t="s">
        <v>560</v>
      </c>
      <c r="K1298" s="880" t="s">
        <v>2264</v>
      </c>
    </row>
    <row r="1299" spans="1:11" s="866" customFormat="1" ht="28.8" x14ac:dyDescent="0.3">
      <c r="A1299" s="869" t="s">
        <v>2025</v>
      </c>
      <c r="B1299" s="881">
        <f>'[1]PLAN DE DESARROLLO 2024 - 2027'!$M$123</f>
        <v>0.20174333228533195</v>
      </c>
      <c r="C1299" s="869" t="s">
        <v>2031</v>
      </c>
      <c r="D1299" s="883">
        <f>'[1]PLAN DE DESARROLLO 2024 - 2027'!$M$147</f>
        <v>0.1413865782697985</v>
      </c>
      <c r="E1299" s="869" t="s">
        <v>2039</v>
      </c>
      <c r="F1299" s="879">
        <f>[2]Hoja1!$B$155</f>
        <v>0.49849955410878943</v>
      </c>
      <c r="G1299" s="869" t="s">
        <v>918</v>
      </c>
      <c r="H1299" s="869" t="s">
        <v>1357</v>
      </c>
      <c r="I1299" s="869"/>
      <c r="J1299" s="869" t="s">
        <v>2041</v>
      </c>
      <c r="K1299" s="880" t="s">
        <v>2264</v>
      </c>
    </row>
    <row r="1300" spans="1:11" s="866" customFormat="1" ht="28.8" x14ac:dyDescent="0.3">
      <c r="A1300" s="869" t="s">
        <v>2025</v>
      </c>
      <c r="B1300" s="881">
        <f>'[1]PLAN DE DESARROLLO 2024 - 2027'!$M$123</f>
        <v>0.20174333228533195</v>
      </c>
      <c r="C1300" s="869" t="s">
        <v>2031</v>
      </c>
      <c r="D1300" s="883">
        <f>'[1]PLAN DE DESARROLLO 2024 - 2027'!$M$147</f>
        <v>0.1413865782697985</v>
      </c>
      <c r="E1300" s="869" t="s">
        <v>2039</v>
      </c>
      <c r="F1300" s="879">
        <f>[2]Hoja1!$B$155</f>
        <v>0.49849955410878943</v>
      </c>
      <c r="G1300" s="869" t="s">
        <v>919</v>
      </c>
      <c r="H1300" s="869" t="s">
        <v>1358</v>
      </c>
      <c r="I1300" s="869"/>
      <c r="J1300" s="869" t="s">
        <v>907</v>
      </c>
      <c r="K1300" s="880" t="s">
        <v>2264</v>
      </c>
    </row>
    <row r="1301" spans="1:11" s="866" customFormat="1" ht="28.8" x14ac:dyDescent="0.3">
      <c r="A1301" s="869" t="s">
        <v>2025</v>
      </c>
      <c r="B1301" s="881">
        <f>'[1]PLAN DE DESARROLLO 2024 - 2027'!$M$123</f>
        <v>0.20174333228533195</v>
      </c>
      <c r="C1301" s="869" t="s">
        <v>2031</v>
      </c>
      <c r="D1301" s="883">
        <f>'[1]PLAN DE DESARROLLO 2024 - 2027'!$M$147</f>
        <v>0.1413865782697985</v>
      </c>
      <c r="E1301" s="869" t="s">
        <v>2039</v>
      </c>
      <c r="F1301" s="879">
        <f>[2]Hoja1!$B$155</f>
        <v>0.49849955410878943</v>
      </c>
      <c r="G1301" s="869" t="s">
        <v>920</v>
      </c>
      <c r="H1301" s="869" t="s">
        <v>1359</v>
      </c>
      <c r="I1301" s="869"/>
      <c r="J1301" s="869" t="s">
        <v>907</v>
      </c>
      <c r="K1301" s="880" t="s">
        <v>2264</v>
      </c>
    </row>
    <row r="1302" spans="1:11" s="866" customFormat="1" ht="28.8" x14ac:dyDescent="0.3">
      <c r="A1302" s="869" t="s">
        <v>2025</v>
      </c>
      <c r="B1302" s="881">
        <f>'[1]PLAN DE DESARROLLO 2024 - 2027'!$M$123</f>
        <v>0.20174333228533195</v>
      </c>
      <c r="C1302" s="869" t="s">
        <v>2031</v>
      </c>
      <c r="D1302" s="883">
        <f>'[1]PLAN DE DESARROLLO 2024 - 2027'!$M$147</f>
        <v>0.1413865782697985</v>
      </c>
      <c r="E1302" s="869" t="s">
        <v>2039</v>
      </c>
      <c r="F1302" s="879">
        <f>[2]Hoja1!$B$155</f>
        <v>0.49849955410878943</v>
      </c>
      <c r="G1302" s="869" t="s">
        <v>921</v>
      </c>
      <c r="H1302" s="869" t="s">
        <v>1360</v>
      </c>
      <c r="I1302" s="869"/>
      <c r="J1302" s="869" t="s">
        <v>907</v>
      </c>
      <c r="K1302" s="880" t="s">
        <v>2264</v>
      </c>
    </row>
    <row r="1303" spans="1:11" s="866" customFormat="1" ht="28.8" x14ac:dyDescent="0.3">
      <c r="A1303" s="869" t="s">
        <v>2025</v>
      </c>
      <c r="B1303" s="881">
        <f>'[1]PLAN DE DESARROLLO 2024 - 2027'!$M$123</f>
        <v>0.20174333228533195</v>
      </c>
      <c r="C1303" s="869" t="s">
        <v>2049</v>
      </c>
      <c r="D1303" s="883">
        <f>'[1]PLAN DE DESARROLLO 2024 - 2027'!$M$124</f>
        <v>0.25944237108108109</v>
      </c>
      <c r="E1303" s="869" t="s">
        <v>1803</v>
      </c>
      <c r="F1303" s="879">
        <f>[2]Hoja1!$B$95</f>
        <v>0.28400950000000003</v>
      </c>
      <c r="G1303" s="869" t="s">
        <v>799</v>
      </c>
      <c r="H1303" s="869" t="s">
        <v>1261</v>
      </c>
      <c r="I1303" s="869"/>
      <c r="J1303" s="869" t="s">
        <v>560</v>
      </c>
      <c r="K1303" s="880" t="s">
        <v>2264</v>
      </c>
    </row>
    <row r="1304" spans="1:11" s="866" customFormat="1" ht="43.2" x14ac:dyDescent="0.3">
      <c r="A1304" s="869" t="s">
        <v>2025</v>
      </c>
      <c r="B1304" s="881">
        <f>'[1]PLAN DE DESARROLLO 2024 - 2027'!$M$123</f>
        <v>0.20174333228533195</v>
      </c>
      <c r="C1304" s="869" t="s">
        <v>2049</v>
      </c>
      <c r="D1304" s="883">
        <f>'[1]PLAN DE DESARROLLO 2024 - 2027'!$M$124</f>
        <v>0.25944237108108109</v>
      </c>
      <c r="E1304" s="869" t="s">
        <v>1803</v>
      </c>
      <c r="F1304" s="879">
        <f>[2]Hoja1!$B$95</f>
        <v>0.28400950000000003</v>
      </c>
      <c r="G1304" s="869" t="s">
        <v>800</v>
      </c>
      <c r="H1304" s="869" t="s">
        <v>1262</v>
      </c>
      <c r="I1304" s="869"/>
      <c r="J1304" s="869" t="s">
        <v>560</v>
      </c>
      <c r="K1304" s="880" t="s">
        <v>2264</v>
      </c>
    </row>
    <row r="1305" spans="1:11" s="866" customFormat="1" ht="28.8" x14ac:dyDescent="0.3">
      <c r="A1305" s="869" t="s">
        <v>2025</v>
      </c>
      <c r="B1305" s="881">
        <f>'[1]PLAN DE DESARROLLO 2024 - 2027'!$M$123</f>
        <v>0.20174333228533195</v>
      </c>
      <c r="C1305" s="869" t="s">
        <v>2049</v>
      </c>
      <c r="D1305" s="883">
        <f>'[1]PLAN DE DESARROLLO 2024 - 2027'!$M$124</f>
        <v>0.25944237108108109</v>
      </c>
      <c r="E1305" s="869" t="s">
        <v>1803</v>
      </c>
      <c r="F1305" s="879">
        <f>[2]Hoja1!$B$95</f>
        <v>0.28400950000000003</v>
      </c>
      <c r="G1305" s="869" t="s">
        <v>801</v>
      </c>
      <c r="H1305" s="869" t="s">
        <v>1263</v>
      </c>
      <c r="I1305" s="869"/>
      <c r="J1305" s="869" t="s">
        <v>2050</v>
      </c>
      <c r="K1305" s="880" t="s">
        <v>2264</v>
      </c>
    </row>
    <row r="1306" spans="1:11" s="866" customFormat="1" ht="28.8" x14ac:dyDescent="0.3">
      <c r="A1306" s="869" t="s">
        <v>2025</v>
      </c>
      <c r="B1306" s="881">
        <f>'[1]PLAN DE DESARROLLO 2024 - 2027'!$M$123</f>
        <v>0.20174333228533195</v>
      </c>
      <c r="C1306" s="869" t="s">
        <v>2049</v>
      </c>
      <c r="D1306" s="883">
        <f>'[1]PLAN DE DESARROLLO 2024 - 2027'!$M$124</f>
        <v>0.25944237108108109</v>
      </c>
      <c r="E1306" s="869" t="s">
        <v>1803</v>
      </c>
      <c r="F1306" s="879">
        <f>[2]Hoja1!$B$95</f>
        <v>0.28400950000000003</v>
      </c>
      <c r="G1306" s="869" t="s">
        <v>803</v>
      </c>
      <c r="H1306" s="869" t="s">
        <v>1264</v>
      </c>
      <c r="I1306" s="869"/>
      <c r="J1306" s="869" t="s">
        <v>560</v>
      </c>
      <c r="K1306" s="880" t="s">
        <v>2264</v>
      </c>
    </row>
    <row r="1307" spans="1:11" s="866" customFormat="1" ht="57.6" x14ac:dyDescent="0.3">
      <c r="A1307" s="869" t="s">
        <v>2025</v>
      </c>
      <c r="B1307" s="881">
        <f>'[1]PLAN DE DESARROLLO 2024 - 2027'!$M$123</f>
        <v>0.20174333228533195</v>
      </c>
      <c r="C1307" s="869" t="s">
        <v>2049</v>
      </c>
      <c r="D1307" s="883">
        <f>'[1]PLAN DE DESARROLLO 2024 - 2027'!$M$124</f>
        <v>0.25944237108108109</v>
      </c>
      <c r="E1307" s="869" t="s">
        <v>1803</v>
      </c>
      <c r="F1307" s="879">
        <f>[2]Hoja1!$B$95</f>
        <v>0.28400950000000003</v>
      </c>
      <c r="G1307" s="869" t="s">
        <v>804</v>
      </c>
      <c r="H1307" s="869" t="s">
        <v>1265</v>
      </c>
      <c r="I1307" s="869"/>
      <c r="J1307" s="869" t="s">
        <v>560</v>
      </c>
      <c r="K1307" s="880" t="s">
        <v>2264</v>
      </c>
    </row>
    <row r="1308" spans="1:11" s="866" customFormat="1" ht="43.2" x14ac:dyDescent="0.3">
      <c r="A1308" s="869" t="s">
        <v>2025</v>
      </c>
      <c r="B1308" s="881">
        <f>'[1]PLAN DE DESARROLLO 2024 - 2027'!$M$123</f>
        <v>0.20174333228533195</v>
      </c>
      <c r="C1308" s="869" t="s">
        <v>2049</v>
      </c>
      <c r="D1308" s="883">
        <f>'[1]PLAN DE DESARROLLO 2024 - 2027'!$M$124</f>
        <v>0.25944237108108109</v>
      </c>
      <c r="E1308" s="869" t="s">
        <v>1803</v>
      </c>
      <c r="F1308" s="879">
        <f>[2]Hoja1!$B$95</f>
        <v>0.28400950000000003</v>
      </c>
      <c r="G1308" s="869" t="s">
        <v>805</v>
      </c>
      <c r="H1308" s="869" t="s">
        <v>1266</v>
      </c>
      <c r="I1308" s="869"/>
      <c r="J1308" s="869" t="s">
        <v>560</v>
      </c>
      <c r="K1308" s="880" t="s">
        <v>2264</v>
      </c>
    </row>
    <row r="1309" spans="1:11" s="866" customFormat="1" ht="43.2" x14ac:dyDescent="0.3">
      <c r="A1309" s="869" t="s">
        <v>2001</v>
      </c>
      <c r="B1309" s="881">
        <f>'[1]PLAN DE DESARROLLO 2024 - 2027'!$M$198</f>
        <v>3.4556250000000004E-2</v>
      </c>
      <c r="C1309" s="869" t="s">
        <v>2005</v>
      </c>
      <c r="D1309" s="883">
        <f>'[1]PLAN DE DESARROLLO 2024 - 2027'!$M$203</f>
        <v>3.0624999999999999E-2</v>
      </c>
      <c r="E1309" s="869" t="s">
        <v>1839</v>
      </c>
      <c r="F1309" s="879">
        <f>[2]Hoja1!$B$151</f>
        <v>3.2083333333333332E-2</v>
      </c>
      <c r="G1309" s="869" t="s">
        <v>1114</v>
      </c>
      <c r="H1309" s="869" t="s">
        <v>1115</v>
      </c>
      <c r="I1309" s="869"/>
      <c r="J1309" s="869" t="s">
        <v>12</v>
      </c>
      <c r="K1309" s="880" t="s">
        <v>2264</v>
      </c>
    </row>
    <row r="1310" spans="1:11" s="866" customFormat="1" ht="28.8" x14ac:dyDescent="0.3">
      <c r="A1310" s="869" t="s">
        <v>2001</v>
      </c>
      <c r="B1310" s="881">
        <f>'[1]PLAN DE DESARROLLO 2024 - 2027'!$M$198</f>
        <v>3.4556250000000004E-2</v>
      </c>
      <c r="C1310" s="869" t="s">
        <v>2005</v>
      </c>
      <c r="D1310" s="883">
        <f>'[1]PLAN DE DESARROLLO 2024 - 2027'!$M$203</f>
        <v>3.0624999999999999E-2</v>
      </c>
      <c r="E1310" s="869" t="s">
        <v>1839</v>
      </c>
      <c r="F1310" s="879">
        <f>[2]Hoja1!$B$151</f>
        <v>3.2083333333333332E-2</v>
      </c>
      <c r="G1310" s="869" t="s">
        <v>1116</v>
      </c>
      <c r="H1310" s="869" t="s">
        <v>1117</v>
      </c>
      <c r="I1310" s="869"/>
      <c r="J1310" s="869" t="s">
        <v>12</v>
      </c>
      <c r="K1310" s="880" t="s">
        <v>2264</v>
      </c>
    </row>
    <row r="1311" spans="1:11" s="866" customFormat="1" ht="43.2" x14ac:dyDescent="0.3">
      <c r="A1311" s="869" t="s">
        <v>2001</v>
      </c>
      <c r="B1311" s="881">
        <f>'[1]PLAN DE DESARROLLO 2024 - 2027'!$M$198</f>
        <v>3.4556250000000004E-2</v>
      </c>
      <c r="C1311" s="869" t="s">
        <v>2005</v>
      </c>
      <c r="D1311" s="883">
        <f>'[1]PLAN DE DESARROLLO 2024 - 2027'!$M$203</f>
        <v>3.0624999999999999E-2</v>
      </c>
      <c r="E1311" s="869" t="s">
        <v>1839</v>
      </c>
      <c r="F1311" s="879">
        <f>[2]Hoja1!$B$151</f>
        <v>3.2083333333333332E-2</v>
      </c>
      <c r="G1311" s="869" t="s">
        <v>2014</v>
      </c>
      <c r="H1311" s="869" t="s">
        <v>1119</v>
      </c>
      <c r="I1311" s="869"/>
      <c r="J1311" s="869" t="s">
        <v>551</v>
      </c>
      <c r="K1311" s="880" t="s">
        <v>2264</v>
      </c>
    </row>
    <row r="1312" spans="1:11" s="866" customFormat="1" ht="28.8" x14ac:dyDescent="0.3">
      <c r="A1312" s="869" t="s">
        <v>2001</v>
      </c>
      <c r="B1312" s="881">
        <f>'[1]PLAN DE DESARROLLO 2024 - 2027'!$M$198</f>
        <v>3.4556250000000004E-2</v>
      </c>
      <c r="C1312" s="869" t="s">
        <v>2005</v>
      </c>
      <c r="D1312" s="883">
        <f>'[1]PLAN DE DESARROLLO 2024 - 2027'!$M$203</f>
        <v>3.0624999999999999E-2</v>
      </c>
      <c r="E1312" s="869" t="s">
        <v>1839</v>
      </c>
      <c r="F1312" s="879">
        <f>[2]Hoja1!$B$151</f>
        <v>3.2083333333333332E-2</v>
      </c>
      <c r="G1312" s="869" t="s">
        <v>1120</v>
      </c>
      <c r="H1312" s="869" t="s">
        <v>1121</v>
      </c>
      <c r="I1312" s="869"/>
      <c r="J1312" s="869" t="s">
        <v>12</v>
      </c>
      <c r="K1312" s="880" t="s">
        <v>2264</v>
      </c>
    </row>
    <row r="1313" spans="1:11" s="866" customFormat="1" ht="43.2" x14ac:dyDescent="0.3">
      <c r="A1313" s="869" t="s">
        <v>2001</v>
      </c>
      <c r="B1313" s="881">
        <f>'[1]PLAN DE DESARROLLO 2024 - 2027'!$M$198</f>
        <v>3.4556250000000004E-2</v>
      </c>
      <c r="C1313" s="869" t="s">
        <v>2005</v>
      </c>
      <c r="D1313" s="883">
        <f>'[1]PLAN DE DESARROLLO 2024 - 2027'!$M$203</f>
        <v>3.0624999999999999E-2</v>
      </c>
      <c r="E1313" s="869" t="s">
        <v>1839</v>
      </c>
      <c r="F1313" s="879">
        <f>[2]Hoja1!$B$151</f>
        <v>3.2083333333333332E-2</v>
      </c>
      <c r="G1313" s="869" t="s">
        <v>1122</v>
      </c>
      <c r="H1313" s="869" t="s">
        <v>1123</v>
      </c>
      <c r="I1313" s="869"/>
      <c r="J1313" s="869" t="s">
        <v>12</v>
      </c>
      <c r="K1313" s="880" t="s">
        <v>2264</v>
      </c>
    </row>
    <row r="1314" spans="1:11" s="866" customFormat="1" ht="43.2" x14ac:dyDescent="0.3">
      <c r="A1314" s="869" t="s">
        <v>2001</v>
      </c>
      <c r="B1314" s="881">
        <f>'[1]PLAN DE DESARROLLO 2024 - 2027'!$M$198</f>
        <v>3.4556250000000004E-2</v>
      </c>
      <c r="C1314" s="869" t="s">
        <v>2005</v>
      </c>
      <c r="D1314" s="883">
        <f>'[1]PLAN DE DESARROLLO 2024 - 2027'!$M$203</f>
        <v>3.0624999999999999E-2</v>
      </c>
      <c r="E1314" s="869" t="s">
        <v>1839</v>
      </c>
      <c r="F1314" s="879">
        <f>[2]Hoja1!$B$151</f>
        <v>3.2083333333333332E-2</v>
      </c>
      <c r="G1314" s="869" t="s">
        <v>1124</v>
      </c>
      <c r="H1314" s="869" t="s">
        <v>1125</v>
      </c>
      <c r="I1314" s="869"/>
      <c r="J1314" s="869" t="s">
        <v>12</v>
      </c>
      <c r="K1314" s="880" t="s">
        <v>2264</v>
      </c>
    </row>
    <row r="1315" spans="1:11" s="866" customFormat="1" ht="43.2" x14ac:dyDescent="0.3">
      <c r="A1315" s="869" t="s">
        <v>2001</v>
      </c>
      <c r="B1315" s="881">
        <f>'[1]PLAN DE DESARROLLO 2024 - 2027'!$M$198</f>
        <v>3.4556250000000004E-2</v>
      </c>
      <c r="C1315" s="869" t="s">
        <v>2005</v>
      </c>
      <c r="D1315" s="883">
        <f>'[1]PLAN DE DESARROLLO 2024 - 2027'!$M$203</f>
        <v>3.0624999999999999E-2</v>
      </c>
      <c r="E1315" s="869" t="s">
        <v>1839</v>
      </c>
      <c r="F1315" s="879">
        <f>[2]Hoja1!$B$151</f>
        <v>3.2083333333333332E-2</v>
      </c>
      <c r="G1315" s="869" t="s">
        <v>1126</v>
      </c>
      <c r="H1315" s="869" t="s">
        <v>1127</v>
      </c>
      <c r="I1315" s="869"/>
      <c r="J1315" s="869" t="s">
        <v>12</v>
      </c>
      <c r="K1315" s="880" t="s">
        <v>2264</v>
      </c>
    </row>
    <row r="1316" spans="1:11" s="866" customFormat="1" ht="33" customHeight="1" x14ac:dyDescent="0.3">
      <c r="A1316" s="869" t="s">
        <v>2001</v>
      </c>
      <c r="B1316" s="881">
        <f>'[1]PLAN DE DESARROLLO 2024 - 2027'!$M$198</f>
        <v>3.4556250000000004E-2</v>
      </c>
      <c r="C1316" s="869" t="s">
        <v>2005</v>
      </c>
      <c r="D1316" s="883">
        <f>'[1]PLAN DE DESARROLLO 2024 - 2027'!$M$203</f>
        <v>3.0624999999999999E-2</v>
      </c>
      <c r="E1316" s="869" t="s">
        <v>1839</v>
      </c>
      <c r="F1316" s="879">
        <f>[2]Hoja1!$B$151</f>
        <v>3.2083333333333332E-2</v>
      </c>
      <c r="G1316" s="869" t="s">
        <v>1128</v>
      </c>
      <c r="H1316" s="869" t="s">
        <v>1129</v>
      </c>
      <c r="I1316" s="869"/>
      <c r="J1316" s="869" t="s">
        <v>12</v>
      </c>
      <c r="K1316" s="880" t="s">
        <v>2264</v>
      </c>
    </row>
    <row r="1317" spans="1:11" s="866" customFormat="1" ht="28.8" x14ac:dyDescent="0.3">
      <c r="A1317" s="869" t="s">
        <v>2118</v>
      </c>
      <c r="B1317" s="881">
        <f>'[1]PLAN DE DESARROLLO 2024 - 2027'!$M$161</f>
        <v>0.24647581985093744</v>
      </c>
      <c r="C1317" s="869" t="s">
        <v>2120</v>
      </c>
      <c r="D1317" s="878">
        <f>'[1]PLAN DE DESARROLLO 2024 - 2027'!$M$166</f>
        <v>0.23451309458253802</v>
      </c>
      <c r="E1317" s="869" t="s">
        <v>2133</v>
      </c>
      <c r="F1317" s="879">
        <f>[2]Hoja1!$B$152</f>
        <v>0.13250000000000001</v>
      </c>
      <c r="G1317" s="869" t="s">
        <v>982</v>
      </c>
      <c r="H1317" s="869" t="s">
        <v>1183</v>
      </c>
      <c r="I1317" s="869"/>
      <c r="J1317" s="869" t="s">
        <v>516</v>
      </c>
      <c r="K1317" s="880" t="s">
        <v>2264</v>
      </c>
    </row>
    <row r="1318" spans="1:11" s="866" customFormat="1" ht="28.8" x14ac:dyDescent="0.3">
      <c r="A1318" s="869" t="s">
        <v>2118</v>
      </c>
      <c r="B1318" s="881">
        <f>'[1]PLAN DE DESARROLLO 2024 - 2027'!$M$161</f>
        <v>0.24647581985093744</v>
      </c>
      <c r="C1318" s="869" t="s">
        <v>2120</v>
      </c>
      <c r="D1318" s="878">
        <f>'[1]PLAN DE DESARROLLO 2024 - 2027'!$M$166</f>
        <v>0.23451309458253802</v>
      </c>
      <c r="E1318" s="869" t="s">
        <v>2133</v>
      </c>
      <c r="F1318" s="879">
        <f>[2]Hoja1!$B$152</f>
        <v>0.13250000000000001</v>
      </c>
      <c r="G1318" s="869" t="s">
        <v>983</v>
      </c>
      <c r="H1318" s="869" t="s">
        <v>1184</v>
      </c>
      <c r="I1318" s="869"/>
      <c r="J1318" s="869" t="s">
        <v>516</v>
      </c>
      <c r="K1318" s="880" t="s">
        <v>2264</v>
      </c>
    </row>
    <row r="1319" spans="1:11" s="866" customFormat="1" ht="43.2" x14ac:dyDescent="0.3">
      <c r="A1319" s="869" t="s">
        <v>2118</v>
      </c>
      <c r="B1319" s="881">
        <f>'[1]PLAN DE DESARROLLO 2024 - 2027'!$M$161</f>
        <v>0.24647581985093744</v>
      </c>
      <c r="C1319" s="869" t="s">
        <v>2120</v>
      </c>
      <c r="D1319" s="878">
        <f>'[1]PLAN DE DESARROLLO 2024 - 2027'!$M$166</f>
        <v>0.23451309458253802</v>
      </c>
      <c r="E1319" s="869" t="s">
        <v>2133</v>
      </c>
      <c r="F1319" s="879">
        <f>[2]Hoja1!$B$152</f>
        <v>0.13250000000000001</v>
      </c>
      <c r="G1319" s="869" t="s">
        <v>984</v>
      </c>
      <c r="H1319" s="869" t="s">
        <v>1185</v>
      </c>
      <c r="I1319" s="869"/>
      <c r="J1319" s="869" t="s">
        <v>516</v>
      </c>
      <c r="K1319" s="880" t="s">
        <v>2264</v>
      </c>
    </row>
    <row r="1320" spans="1:11" s="866" customFormat="1" ht="28.8" x14ac:dyDescent="0.3">
      <c r="A1320" s="869" t="s">
        <v>2076</v>
      </c>
      <c r="B1320" s="881">
        <f>'[1]PLAN DE DESARROLLO 2024 - 2027'!$M$92</f>
        <v>0.25050860314981654</v>
      </c>
      <c r="C1320" s="869" t="s">
        <v>2078</v>
      </c>
      <c r="D1320" s="878">
        <f>'[1]PLAN DE DESARROLLO 2024 - 2027'!$M$110</f>
        <v>0.16375000000000001</v>
      </c>
      <c r="E1320" s="869" t="s">
        <v>2104</v>
      </c>
      <c r="F1320" s="879">
        <f>[2]Hoja1!$B$87</f>
        <v>0.8</v>
      </c>
      <c r="G1320" s="869" t="s">
        <v>765</v>
      </c>
      <c r="H1320" s="869" t="s">
        <v>1462</v>
      </c>
      <c r="I1320" s="869"/>
      <c r="J1320" s="869" t="s">
        <v>736</v>
      </c>
      <c r="K1320" s="880" t="s">
        <v>2264</v>
      </c>
    </row>
    <row r="1321" spans="1:11" s="866" customFormat="1" ht="43.2" x14ac:dyDescent="0.3">
      <c r="A1321" s="869" t="s">
        <v>2076</v>
      </c>
      <c r="B1321" s="881">
        <f>'[1]PLAN DE DESARROLLO 2024 - 2027'!$M$92</f>
        <v>0.25050860314981654</v>
      </c>
      <c r="C1321" s="869" t="s">
        <v>2078</v>
      </c>
      <c r="D1321" s="878">
        <f>'[1]PLAN DE DESARROLLO 2024 - 2027'!$M$110</f>
        <v>0.16375000000000001</v>
      </c>
      <c r="E1321" s="869" t="s">
        <v>2081</v>
      </c>
      <c r="F1321" s="879">
        <f>[2]Hoja1!$B$93</f>
        <v>0</v>
      </c>
      <c r="G1321" s="869" t="s">
        <v>2082</v>
      </c>
      <c r="H1321" s="869" t="s">
        <v>1456</v>
      </c>
      <c r="I1321" s="869"/>
      <c r="J1321" s="869" t="s">
        <v>2083</v>
      </c>
      <c r="K1321" s="880" t="s">
        <v>2264</v>
      </c>
    </row>
    <row r="1322" spans="1:11" s="866" customFormat="1" x14ac:dyDescent="0.3">
      <c r="A1322" s="869" t="s">
        <v>2076</v>
      </c>
      <c r="B1322" s="881">
        <f>'[1]PLAN DE DESARROLLO 2024 - 2027'!$M$92</f>
        <v>0.25050860314981654</v>
      </c>
      <c r="C1322" s="869" t="s">
        <v>2078</v>
      </c>
      <c r="D1322" s="878">
        <f>'[1]PLAN DE DESARROLLO 2024 - 2027'!$M$110</f>
        <v>0.16375000000000001</v>
      </c>
      <c r="E1322" s="869" t="s">
        <v>2081</v>
      </c>
      <c r="F1322" s="879">
        <f>[2]Hoja1!$B$93</f>
        <v>0</v>
      </c>
      <c r="G1322" s="869" t="s">
        <v>760</v>
      </c>
      <c r="H1322" s="869" t="s">
        <v>1457</v>
      </c>
      <c r="I1322" s="869"/>
      <c r="J1322" s="869" t="s">
        <v>736</v>
      </c>
      <c r="K1322" s="880" t="s">
        <v>2264</v>
      </c>
    </row>
    <row r="1323" spans="1:11" s="866" customFormat="1" ht="28.8" x14ac:dyDescent="0.3">
      <c r="A1323" s="869" t="s">
        <v>2076</v>
      </c>
      <c r="B1323" s="881">
        <f>'[1]PLAN DE DESARROLLO 2024 - 2027'!$M$92</f>
        <v>0.25050860314981654</v>
      </c>
      <c r="C1323" s="869" t="s">
        <v>2078</v>
      </c>
      <c r="D1323" s="878">
        <f>'[1]PLAN DE DESARROLLO 2024 - 2027'!$M$110</f>
        <v>0.16375000000000001</v>
      </c>
      <c r="E1323" s="869" t="s">
        <v>2081</v>
      </c>
      <c r="F1323" s="879">
        <f>[2]Hoja1!$B$93</f>
        <v>0</v>
      </c>
      <c r="G1323" s="869" t="s">
        <v>761</v>
      </c>
      <c r="H1323" s="869" t="s">
        <v>1458</v>
      </c>
      <c r="I1323" s="869"/>
      <c r="J1323" s="869" t="s">
        <v>736</v>
      </c>
      <c r="K1323" s="880" t="s">
        <v>2264</v>
      </c>
    </row>
    <row r="1324" spans="1:11" s="866" customFormat="1" ht="43.2" x14ac:dyDescent="0.3">
      <c r="A1324" s="869" t="s">
        <v>2118</v>
      </c>
      <c r="B1324" s="881">
        <f>'[1]PLAN DE DESARROLLO 2024 - 2027'!$M$161</f>
        <v>0.24647581985093744</v>
      </c>
      <c r="C1324" s="869" t="s">
        <v>2119</v>
      </c>
      <c r="D1324" s="878">
        <f>'[1]PLAN DE DESARROLLO 2024 - 2027'!$M$162</f>
        <v>0.208125</v>
      </c>
      <c r="E1324" s="869" t="s">
        <v>1821</v>
      </c>
      <c r="F1324" s="879">
        <f>[2]Hoja1!$B$154</f>
        <v>0.21249999999999999</v>
      </c>
      <c r="G1324" s="869" t="s">
        <v>958</v>
      </c>
      <c r="H1324" s="869" t="s">
        <v>1164</v>
      </c>
      <c r="I1324" s="869"/>
      <c r="J1324" s="869" t="s">
        <v>516</v>
      </c>
      <c r="K1324" s="880" t="s">
        <v>2264</v>
      </c>
    </row>
    <row r="1325" spans="1:11" s="866" customFormat="1" ht="28.8" x14ac:dyDescent="0.3">
      <c r="A1325" s="869" t="s">
        <v>2118</v>
      </c>
      <c r="B1325" s="881">
        <f>'[1]PLAN DE DESARROLLO 2024 - 2027'!$M$161</f>
        <v>0.24647581985093744</v>
      </c>
      <c r="C1325" s="869" t="s">
        <v>2119</v>
      </c>
      <c r="D1325" s="878">
        <f>'[1]PLAN DE DESARROLLO 2024 - 2027'!$M$162</f>
        <v>0.208125</v>
      </c>
      <c r="E1325" s="869" t="s">
        <v>1821</v>
      </c>
      <c r="F1325" s="879">
        <f>[2]Hoja1!$B$154</f>
        <v>0.21249999999999999</v>
      </c>
      <c r="G1325" s="869" t="s">
        <v>959</v>
      </c>
      <c r="H1325" s="869" t="s">
        <v>1165</v>
      </c>
      <c r="I1325" s="869"/>
      <c r="J1325" s="869" t="s">
        <v>2128</v>
      </c>
      <c r="K1325" s="880" t="s">
        <v>2264</v>
      </c>
    </row>
    <row r="1326" spans="1:11" s="866" customFormat="1" ht="28.8" x14ac:dyDescent="0.3">
      <c r="A1326" s="869" t="s">
        <v>2025</v>
      </c>
      <c r="B1326" s="881">
        <f>'[1]PLAN DE DESARROLLO 2024 - 2027'!$M$123</f>
        <v>0.20174333228533195</v>
      </c>
      <c r="C1326" s="869" t="s">
        <v>2049</v>
      </c>
      <c r="D1326" s="883">
        <f>'[1]PLAN DE DESARROLLO 2024 - 2027'!$M$124</f>
        <v>0.25944237108108109</v>
      </c>
      <c r="E1326" s="869" t="s">
        <v>1803</v>
      </c>
      <c r="F1326" s="879">
        <f>[2]Hoja1!$B$95</f>
        <v>0.28400950000000003</v>
      </c>
      <c r="G1326" s="869" t="s">
        <v>806</v>
      </c>
      <c r="H1326" s="869" t="s">
        <v>1267</v>
      </c>
      <c r="I1326" s="869"/>
      <c r="J1326" s="869" t="s">
        <v>560</v>
      </c>
      <c r="K1326" s="880" t="s">
        <v>2264</v>
      </c>
    </row>
    <row r="1327" spans="1:11" s="866" customFormat="1" ht="28.8" x14ac:dyDescent="0.3">
      <c r="A1327" s="869" t="s">
        <v>2025</v>
      </c>
      <c r="B1327" s="881">
        <f>'[1]PLAN DE DESARROLLO 2024 - 2027'!$M$123</f>
        <v>0.20174333228533195</v>
      </c>
      <c r="C1327" s="869" t="s">
        <v>2049</v>
      </c>
      <c r="D1327" s="883">
        <f>'[1]PLAN DE DESARROLLO 2024 - 2027'!$M$124</f>
        <v>0.25944237108108109</v>
      </c>
      <c r="E1327" s="869" t="s">
        <v>1803</v>
      </c>
      <c r="F1327" s="879">
        <f>[2]Hoja1!$B$95</f>
        <v>0.28400950000000003</v>
      </c>
      <c r="G1327" s="869" t="s">
        <v>807</v>
      </c>
      <c r="H1327" s="869" t="s">
        <v>1268</v>
      </c>
      <c r="I1327" s="869"/>
      <c r="J1327" s="869" t="s">
        <v>560</v>
      </c>
      <c r="K1327" s="880" t="s">
        <v>2264</v>
      </c>
    </row>
    <row r="1328" spans="1:11" s="866" customFormat="1" ht="28.8" x14ac:dyDescent="0.3">
      <c r="A1328" s="869" t="s">
        <v>2025</v>
      </c>
      <c r="B1328" s="881">
        <f>'[1]PLAN DE DESARROLLO 2024 - 2027'!$M$123</f>
        <v>0.20174333228533195</v>
      </c>
      <c r="C1328" s="869" t="s">
        <v>2049</v>
      </c>
      <c r="D1328" s="883">
        <f>'[1]PLAN DE DESARROLLO 2024 - 2027'!$M$124</f>
        <v>0.25944237108108109</v>
      </c>
      <c r="E1328" s="869" t="s">
        <v>1803</v>
      </c>
      <c r="F1328" s="879">
        <f>[2]Hoja1!$B$95</f>
        <v>0.28400950000000003</v>
      </c>
      <c r="G1328" s="869" t="s">
        <v>808</v>
      </c>
      <c r="H1328" s="869" t="s">
        <v>1269</v>
      </c>
      <c r="I1328" s="869"/>
      <c r="J1328" s="869" t="s">
        <v>560</v>
      </c>
      <c r="K1328" s="880" t="s">
        <v>2264</v>
      </c>
    </row>
    <row r="1329" spans="1:11" s="866" customFormat="1" ht="43.2" x14ac:dyDescent="0.3">
      <c r="A1329" s="869" t="s">
        <v>2025</v>
      </c>
      <c r="B1329" s="881">
        <f>'[1]PLAN DE DESARROLLO 2024 - 2027'!$M$123</f>
        <v>0.20174333228533195</v>
      </c>
      <c r="C1329" s="869" t="s">
        <v>2049</v>
      </c>
      <c r="D1329" s="883">
        <f>'[1]PLAN DE DESARROLLO 2024 - 2027'!$M$124</f>
        <v>0.25944237108108109</v>
      </c>
      <c r="E1329" s="869" t="s">
        <v>1803</v>
      </c>
      <c r="F1329" s="879">
        <f>[2]Hoja1!$B$95</f>
        <v>0.28400950000000003</v>
      </c>
      <c r="G1329" s="869" t="s">
        <v>809</v>
      </c>
      <c r="H1329" s="869" t="s">
        <v>1270</v>
      </c>
      <c r="I1329" s="869"/>
      <c r="J1329" s="869" t="s">
        <v>560</v>
      </c>
      <c r="K1329" s="880" t="s">
        <v>2264</v>
      </c>
    </row>
    <row r="1330" spans="1:11" s="866" customFormat="1" ht="28.8" x14ac:dyDescent="0.3">
      <c r="A1330" s="869" t="s">
        <v>2025</v>
      </c>
      <c r="B1330" s="881">
        <f>'[1]PLAN DE DESARROLLO 2024 - 2027'!$M$123</f>
        <v>0.20174333228533195</v>
      </c>
      <c r="C1330" s="869" t="s">
        <v>2049</v>
      </c>
      <c r="D1330" s="883">
        <f>'[1]PLAN DE DESARROLLO 2024 - 2027'!$M$124</f>
        <v>0.25944237108108109</v>
      </c>
      <c r="E1330" s="869" t="s">
        <v>1803</v>
      </c>
      <c r="F1330" s="879">
        <f>[2]Hoja1!$B$95</f>
        <v>0.28400950000000003</v>
      </c>
      <c r="G1330" s="869" t="s">
        <v>810</v>
      </c>
      <c r="H1330" s="869" t="s">
        <v>1271</v>
      </c>
      <c r="I1330" s="869"/>
      <c r="J1330" s="869" t="s">
        <v>2035</v>
      </c>
      <c r="K1330" s="880" t="s">
        <v>2264</v>
      </c>
    </row>
    <row r="1331" spans="1:11" s="866" customFormat="1" ht="28.8" x14ac:dyDescent="0.3">
      <c r="A1331" s="869" t="s">
        <v>2025</v>
      </c>
      <c r="B1331" s="881">
        <f>'[1]PLAN DE DESARROLLO 2024 - 2027'!$M$123</f>
        <v>0.20174333228533195</v>
      </c>
      <c r="C1331" s="869" t="s">
        <v>2049</v>
      </c>
      <c r="D1331" s="883">
        <f>'[1]PLAN DE DESARROLLO 2024 - 2027'!$M$124</f>
        <v>0.25944237108108109</v>
      </c>
      <c r="E1331" s="869" t="s">
        <v>1803</v>
      </c>
      <c r="F1331" s="879">
        <f>[2]Hoja1!$B$95</f>
        <v>0.28400950000000003</v>
      </c>
      <c r="G1331" s="869" t="s">
        <v>812</v>
      </c>
      <c r="H1331" s="869" t="s">
        <v>1272</v>
      </c>
      <c r="I1331" s="869"/>
      <c r="J1331" s="869" t="s">
        <v>2035</v>
      </c>
      <c r="K1331" s="880" t="s">
        <v>2264</v>
      </c>
    </row>
    <row r="1332" spans="1:11" s="866" customFormat="1" ht="28.8" x14ac:dyDescent="0.3">
      <c r="A1332" s="869" t="s">
        <v>2025</v>
      </c>
      <c r="B1332" s="881">
        <f>'[1]PLAN DE DESARROLLO 2024 - 2027'!$M$123</f>
        <v>0.20174333228533195</v>
      </c>
      <c r="C1332" s="869" t="s">
        <v>2049</v>
      </c>
      <c r="D1332" s="883">
        <f>'[1]PLAN DE DESARROLLO 2024 - 2027'!$M$124</f>
        <v>0.25944237108108109</v>
      </c>
      <c r="E1332" s="869" t="s">
        <v>1803</v>
      </c>
      <c r="F1332" s="879">
        <f>[2]Hoja1!$B$95</f>
        <v>0.28400950000000003</v>
      </c>
      <c r="G1332" s="869" t="s">
        <v>813</v>
      </c>
      <c r="H1332" s="869" t="s">
        <v>1273</v>
      </c>
      <c r="I1332" s="869"/>
      <c r="J1332" s="869" t="s">
        <v>2035</v>
      </c>
      <c r="K1332" s="880" t="s">
        <v>2264</v>
      </c>
    </row>
    <row r="1333" spans="1:11" s="866" customFormat="1" ht="43.2" x14ac:dyDescent="0.3">
      <c r="A1333" s="869" t="s">
        <v>2025</v>
      </c>
      <c r="B1333" s="881">
        <f>'[1]PLAN DE DESARROLLO 2024 - 2027'!$M$123</f>
        <v>0.20174333228533195</v>
      </c>
      <c r="C1333" s="869" t="s">
        <v>2049</v>
      </c>
      <c r="D1333" s="883">
        <f>'[1]PLAN DE DESARROLLO 2024 - 2027'!$M$124</f>
        <v>0.25944237108108109</v>
      </c>
      <c r="E1333" s="869" t="s">
        <v>1803</v>
      </c>
      <c r="F1333" s="879">
        <f>[2]Hoja1!$B$95</f>
        <v>0.28400950000000003</v>
      </c>
      <c r="G1333" s="869" t="s">
        <v>814</v>
      </c>
      <c r="H1333" s="869" t="s">
        <v>1274</v>
      </c>
      <c r="I1333" s="869"/>
      <c r="J1333" s="869" t="s">
        <v>2035</v>
      </c>
      <c r="K1333" s="880" t="s">
        <v>2264</v>
      </c>
    </row>
    <row r="1334" spans="1:11" s="866" customFormat="1" ht="43.2" x14ac:dyDescent="0.3">
      <c r="A1334" s="869" t="s">
        <v>2025</v>
      </c>
      <c r="B1334" s="881">
        <f>'[1]PLAN DE DESARROLLO 2024 - 2027'!$M$123</f>
        <v>0.20174333228533195</v>
      </c>
      <c r="C1334" s="869" t="s">
        <v>2049</v>
      </c>
      <c r="D1334" s="883">
        <f>'[1]PLAN DE DESARROLLO 2024 - 2027'!$M$124</f>
        <v>0.25944237108108109</v>
      </c>
      <c r="E1334" s="869" t="s">
        <v>1803</v>
      </c>
      <c r="F1334" s="879">
        <f>[2]Hoja1!$B$95</f>
        <v>0.28400950000000003</v>
      </c>
      <c r="G1334" s="869" t="s">
        <v>815</v>
      </c>
      <c r="H1334" s="869" t="s">
        <v>1275</v>
      </c>
      <c r="I1334" s="869"/>
      <c r="J1334" s="869" t="s">
        <v>560</v>
      </c>
      <c r="K1334" s="880" t="s">
        <v>2264</v>
      </c>
    </row>
    <row r="1335" spans="1:11" s="866" customFormat="1" x14ac:dyDescent="0.3">
      <c r="A1335" s="869" t="s">
        <v>2025</v>
      </c>
      <c r="B1335" s="881">
        <f>'[1]PLAN DE DESARROLLO 2024 - 2027'!$M$123</f>
        <v>0.20174333228533195</v>
      </c>
      <c r="C1335" s="869" t="s">
        <v>2049</v>
      </c>
      <c r="D1335" s="883">
        <f>'[1]PLAN DE DESARROLLO 2024 - 2027'!$M$124</f>
        <v>0.25944237108108109</v>
      </c>
      <c r="E1335" s="869" t="s">
        <v>1803</v>
      </c>
      <c r="F1335" s="879">
        <f>[2]Hoja1!$B$95</f>
        <v>0.28400950000000003</v>
      </c>
      <c r="G1335" s="869" t="s">
        <v>816</v>
      </c>
      <c r="H1335" s="869" t="s">
        <v>1276</v>
      </c>
      <c r="I1335" s="869"/>
      <c r="J1335" s="869" t="s">
        <v>560</v>
      </c>
      <c r="K1335" s="880" t="s">
        <v>2264</v>
      </c>
    </row>
    <row r="1336" spans="1:11" s="866" customFormat="1" ht="28.8" x14ac:dyDescent="0.3">
      <c r="A1336" s="869" t="s">
        <v>2025</v>
      </c>
      <c r="B1336" s="881">
        <f>'[1]PLAN DE DESARROLLO 2024 - 2027'!$M$123</f>
        <v>0.20174333228533195</v>
      </c>
      <c r="C1336" s="869" t="s">
        <v>2049</v>
      </c>
      <c r="D1336" s="883">
        <f>'[1]PLAN DE DESARROLLO 2024 - 2027'!$M$124</f>
        <v>0.25944237108108109</v>
      </c>
      <c r="E1336" s="869" t="s">
        <v>2051</v>
      </c>
      <c r="F1336" s="879">
        <f>[2]Hoja1!$B$132</f>
        <v>0.20211907027027029</v>
      </c>
      <c r="G1336" s="869" t="s">
        <v>817</v>
      </c>
      <c r="H1336" s="869" t="s">
        <v>1277</v>
      </c>
      <c r="I1336" s="869"/>
      <c r="J1336" s="869" t="s">
        <v>1540</v>
      </c>
      <c r="K1336" s="880" t="s">
        <v>2264</v>
      </c>
    </row>
    <row r="1337" spans="1:11" s="866" customFormat="1" ht="28.8" x14ac:dyDescent="0.3">
      <c r="A1337" s="869" t="s">
        <v>2025</v>
      </c>
      <c r="B1337" s="881">
        <f>'[1]PLAN DE DESARROLLO 2024 - 2027'!$M$123</f>
        <v>0.20174333228533195</v>
      </c>
      <c r="C1337" s="869" t="s">
        <v>2049</v>
      </c>
      <c r="D1337" s="883">
        <f>'[1]PLAN DE DESARROLLO 2024 - 2027'!$M$124</f>
        <v>0.25944237108108109</v>
      </c>
      <c r="E1337" s="869" t="s">
        <v>2051</v>
      </c>
      <c r="F1337" s="879">
        <f>[2]Hoja1!$B$132</f>
        <v>0.20211907027027029</v>
      </c>
      <c r="G1337" s="869" t="s">
        <v>819</v>
      </c>
      <c r="H1337" s="869" t="s">
        <v>1278</v>
      </c>
      <c r="I1337" s="869"/>
      <c r="J1337" s="869" t="s">
        <v>1540</v>
      </c>
      <c r="K1337" s="880" t="s">
        <v>2264</v>
      </c>
    </row>
    <row r="1338" spans="1:11" s="866" customFormat="1" ht="28.8" x14ac:dyDescent="0.3">
      <c r="A1338" s="869" t="s">
        <v>2025</v>
      </c>
      <c r="B1338" s="881">
        <f>'[1]PLAN DE DESARROLLO 2024 - 2027'!$M$123</f>
        <v>0.20174333228533195</v>
      </c>
      <c r="C1338" s="869" t="s">
        <v>2049</v>
      </c>
      <c r="D1338" s="883">
        <f>'[1]PLAN DE DESARROLLO 2024 - 2027'!$M$124</f>
        <v>0.25944237108108109</v>
      </c>
      <c r="E1338" s="869" t="s">
        <v>2051</v>
      </c>
      <c r="F1338" s="879">
        <f>[2]Hoja1!$B$132</f>
        <v>0.20211907027027029</v>
      </c>
      <c r="G1338" s="869" t="s">
        <v>820</v>
      </c>
      <c r="H1338" s="869" t="s">
        <v>1279</v>
      </c>
      <c r="I1338" s="869"/>
      <c r="J1338" s="869" t="s">
        <v>1540</v>
      </c>
      <c r="K1338" s="880" t="s">
        <v>2264</v>
      </c>
    </row>
    <row r="1339" spans="1:11" s="866" customFormat="1" ht="43.2" x14ac:dyDescent="0.3">
      <c r="A1339" s="869" t="s">
        <v>2076</v>
      </c>
      <c r="B1339" s="881">
        <f>'[1]PLAN DE DESARROLLO 2024 - 2027'!$M$92</f>
        <v>0.25050860314981654</v>
      </c>
      <c r="C1339" s="869" t="s">
        <v>2078</v>
      </c>
      <c r="D1339" s="878">
        <f>'[1]PLAN DE DESARROLLO 2024 - 2027'!$M$110</f>
        <v>0.16375000000000001</v>
      </c>
      <c r="E1339" s="869" t="s">
        <v>2081</v>
      </c>
      <c r="F1339" s="879">
        <f>[2]Hoja1!$B$93</f>
        <v>0</v>
      </c>
      <c r="G1339" s="869" t="s">
        <v>762</v>
      </c>
      <c r="H1339" s="869" t="s">
        <v>1459</v>
      </c>
      <c r="I1339" s="869"/>
      <c r="J1339" s="869" t="s">
        <v>736</v>
      </c>
      <c r="K1339" s="880" t="s">
        <v>2264</v>
      </c>
    </row>
    <row r="1340" spans="1:11" s="866" customFormat="1" ht="28.8" x14ac:dyDescent="0.3">
      <c r="A1340" s="869" t="s">
        <v>2076</v>
      </c>
      <c r="B1340" s="881">
        <f>'[1]PLAN DE DESARROLLO 2024 - 2027'!$M$92</f>
        <v>0.25050860314981654</v>
      </c>
      <c r="C1340" s="869" t="s">
        <v>2078</v>
      </c>
      <c r="D1340" s="878">
        <f>'[1]PLAN DE DESARROLLO 2024 - 2027'!$M$110</f>
        <v>0.16375000000000001</v>
      </c>
      <c r="E1340" s="869" t="s">
        <v>1798</v>
      </c>
      <c r="F1340" s="879">
        <f>[2]Hoja1!$B$126</f>
        <v>0.4375</v>
      </c>
      <c r="G1340" s="869" t="s">
        <v>753</v>
      </c>
      <c r="H1340" s="869" t="s">
        <v>1452</v>
      </c>
      <c r="I1340" s="869"/>
      <c r="J1340" s="869" t="s">
        <v>2103</v>
      </c>
      <c r="K1340" s="880" t="s">
        <v>2264</v>
      </c>
    </row>
    <row r="1341" spans="1:11" s="866" customFormat="1" ht="28.8" x14ac:dyDescent="0.3">
      <c r="A1341" s="869" t="s">
        <v>2076</v>
      </c>
      <c r="B1341" s="881">
        <f>'[1]PLAN DE DESARROLLO 2024 - 2027'!$M$92</f>
        <v>0.25050860314981654</v>
      </c>
      <c r="C1341" s="869" t="s">
        <v>2078</v>
      </c>
      <c r="D1341" s="878">
        <f>'[1]PLAN DE DESARROLLO 2024 - 2027'!$M$110</f>
        <v>0.16375000000000001</v>
      </c>
      <c r="E1341" s="869" t="s">
        <v>1798</v>
      </c>
      <c r="F1341" s="879">
        <f>[2]Hoja1!$B$126</f>
        <v>0.4375</v>
      </c>
      <c r="G1341" s="869" t="s">
        <v>755</v>
      </c>
      <c r="H1341" s="869" t="s">
        <v>1453</v>
      </c>
      <c r="I1341" s="869"/>
      <c r="J1341" s="869" t="s">
        <v>2103</v>
      </c>
      <c r="K1341" s="880" t="s">
        <v>2264</v>
      </c>
    </row>
    <row r="1342" spans="1:11" s="866" customFormat="1" ht="28.8" x14ac:dyDescent="0.3">
      <c r="A1342" s="869" t="s">
        <v>2076</v>
      </c>
      <c r="B1342" s="881">
        <f>'[1]PLAN DE DESARROLLO 2024 - 2027'!$M$92</f>
        <v>0.25050860314981654</v>
      </c>
      <c r="C1342" s="869" t="s">
        <v>2078</v>
      </c>
      <c r="D1342" s="878">
        <f>'[1]PLAN DE DESARROLLO 2024 - 2027'!$M$110</f>
        <v>0.16375000000000001</v>
      </c>
      <c r="E1342" s="869" t="s">
        <v>1798</v>
      </c>
      <c r="F1342" s="879">
        <f>[2]Hoja1!$B$126</f>
        <v>0.4375</v>
      </c>
      <c r="G1342" s="869" t="s">
        <v>756</v>
      </c>
      <c r="H1342" s="869" t="s">
        <v>1454</v>
      </c>
      <c r="I1342" s="869"/>
      <c r="J1342" s="869" t="s">
        <v>2103</v>
      </c>
      <c r="K1342" s="880" t="s">
        <v>2264</v>
      </c>
    </row>
    <row r="1343" spans="1:11" s="866" customFormat="1" ht="28.8" x14ac:dyDescent="0.3">
      <c r="A1343" s="869" t="s">
        <v>2076</v>
      </c>
      <c r="B1343" s="881">
        <f>'[1]PLAN DE DESARROLLO 2024 - 2027'!$M$92</f>
        <v>0.25050860314981654</v>
      </c>
      <c r="C1343" s="869" t="s">
        <v>2078</v>
      </c>
      <c r="D1343" s="878">
        <f>'[1]PLAN DE DESARROLLO 2024 - 2027'!$M$110</f>
        <v>0.16375000000000001</v>
      </c>
      <c r="E1343" s="869" t="s">
        <v>1798</v>
      </c>
      <c r="F1343" s="879">
        <f>[2]Hoja1!$B$126</f>
        <v>0.4375</v>
      </c>
      <c r="G1343" s="869" t="s">
        <v>757</v>
      </c>
      <c r="H1343" s="869" t="s">
        <v>1455</v>
      </c>
      <c r="I1343" s="869"/>
      <c r="J1343" s="869" t="s">
        <v>2103</v>
      </c>
      <c r="K1343" s="880" t="s">
        <v>2264</v>
      </c>
    </row>
    <row r="1344" spans="1:11" s="866" customFormat="1" ht="28.8" x14ac:dyDescent="0.3">
      <c r="A1344" s="869" t="s">
        <v>2076</v>
      </c>
      <c r="B1344" s="881">
        <f>'[1]PLAN DE DESARROLLO 2024 - 2027'!$M$92</f>
        <v>0.25050860314981654</v>
      </c>
      <c r="C1344" s="869" t="s">
        <v>2078</v>
      </c>
      <c r="D1344" s="878">
        <f>'[1]PLAN DE DESARROLLO 2024 - 2027'!$M$110</f>
        <v>0.16375000000000001</v>
      </c>
      <c r="E1344" s="869" t="s">
        <v>1796</v>
      </c>
      <c r="F1344" s="879">
        <f>[2]Hoja1!$B$144</f>
        <v>0</v>
      </c>
      <c r="G1344" s="869" t="s">
        <v>735</v>
      </c>
      <c r="H1344" s="869" t="s">
        <v>1436</v>
      </c>
      <c r="I1344" s="869"/>
      <c r="J1344" s="869" t="s">
        <v>736</v>
      </c>
      <c r="K1344" s="880" t="s">
        <v>2264</v>
      </c>
    </row>
    <row r="1345" spans="1:11" s="866" customFormat="1" ht="28.8" x14ac:dyDescent="0.3">
      <c r="A1345" s="869" t="s">
        <v>2076</v>
      </c>
      <c r="B1345" s="881">
        <f>'[1]PLAN DE DESARROLLO 2024 - 2027'!$M$92</f>
        <v>0.25050860314981654</v>
      </c>
      <c r="C1345" s="869" t="s">
        <v>2078</v>
      </c>
      <c r="D1345" s="878">
        <f>'[1]PLAN DE DESARROLLO 2024 - 2027'!$M$110</f>
        <v>0.16375000000000001</v>
      </c>
      <c r="E1345" s="869" t="s">
        <v>1796</v>
      </c>
      <c r="F1345" s="879">
        <f>[2]Hoja1!$B$144</f>
        <v>0</v>
      </c>
      <c r="G1345" s="869" t="s">
        <v>737</v>
      </c>
      <c r="H1345" s="869" t="s">
        <v>1437</v>
      </c>
      <c r="I1345" s="869"/>
      <c r="J1345" s="869" t="s">
        <v>736</v>
      </c>
      <c r="K1345" s="880" t="s">
        <v>2264</v>
      </c>
    </row>
    <row r="1346" spans="1:11" s="866" customFormat="1" ht="28.8" x14ac:dyDescent="0.3">
      <c r="A1346" s="869" t="s">
        <v>2076</v>
      </c>
      <c r="B1346" s="881">
        <f>'[1]PLAN DE DESARROLLO 2024 - 2027'!$M$92</f>
        <v>0.25050860314981654</v>
      </c>
      <c r="C1346" s="869" t="s">
        <v>2078</v>
      </c>
      <c r="D1346" s="878">
        <f>'[1]PLAN DE DESARROLLO 2024 - 2027'!$M$110</f>
        <v>0.16375000000000001</v>
      </c>
      <c r="E1346" s="869" t="s">
        <v>1796</v>
      </c>
      <c r="F1346" s="879">
        <f>[2]Hoja1!$B$144</f>
        <v>0</v>
      </c>
      <c r="G1346" s="869" t="s">
        <v>738</v>
      </c>
      <c r="H1346" s="869" t="s">
        <v>1438</v>
      </c>
      <c r="I1346" s="869"/>
      <c r="J1346" s="869" t="s">
        <v>736</v>
      </c>
      <c r="K1346" s="880" t="s">
        <v>2264</v>
      </c>
    </row>
    <row r="1347" spans="1:11" s="866" customFormat="1" ht="28.8" x14ac:dyDescent="0.3">
      <c r="A1347" s="869" t="s">
        <v>2076</v>
      </c>
      <c r="B1347" s="881">
        <f>'[1]PLAN DE DESARROLLO 2024 - 2027'!$M$92</f>
        <v>0.25050860314981654</v>
      </c>
      <c r="C1347" s="869" t="s">
        <v>2078</v>
      </c>
      <c r="D1347" s="878">
        <f>'[1]PLAN DE DESARROLLO 2024 - 2027'!$M$110</f>
        <v>0.16375000000000001</v>
      </c>
      <c r="E1347" s="869" t="s">
        <v>1796</v>
      </c>
      <c r="F1347" s="879">
        <f>[2]Hoja1!$B$144</f>
        <v>0</v>
      </c>
      <c r="G1347" s="869" t="s">
        <v>739</v>
      </c>
      <c r="H1347" s="869" t="s">
        <v>2079</v>
      </c>
      <c r="I1347" s="869"/>
      <c r="J1347" s="869" t="s">
        <v>736</v>
      </c>
      <c r="K1347" s="880" t="s">
        <v>2264</v>
      </c>
    </row>
    <row r="1348" spans="1:11" s="866" customFormat="1" ht="28.8" x14ac:dyDescent="0.3">
      <c r="A1348" s="869" t="s">
        <v>2076</v>
      </c>
      <c r="B1348" s="881">
        <f>'[1]PLAN DE DESARROLLO 2024 - 2027'!$M$92</f>
        <v>0.25050860314981654</v>
      </c>
      <c r="C1348" s="869" t="s">
        <v>2078</v>
      </c>
      <c r="D1348" s="878">
        <f>'[1]PLAN DE DESARROLLO 2024 - 2027'!$M$110</f>
        <v>0.16375000000000001</v>
      </c>
      <c r="E1348" s="869" t="s">
        <v>1797</v>
      </c>
      <c r="F1348" s="879">
        <f>[2]Hoja1!$B$156</f>
        <v>0</v>
      </c>
      <c r="G1348" s="869" t="s">
        <v>740</v>
      </c>
      <c r="H1348" s="869" t="s">
        <v>1440</v>
      </c>
      <c r="I1348" s="869"/>
      <c r="J1348" s="869" t="s">
        <v>736</v>
      </c>
      <c r="K1348" s="880" t="s">
        <v>2264</v>
      </c>
    </row>
    <row r="1349" spans="1:11" s="866" customFormat="1" ht="36.75" customHeight="1" x14ac:dyDescent="0.3">
      <c r="A1349" s="869" t="s">
        <v>2076</v>
      </c>
      <c r="B1349" s="881">
        <f>'[1]PLAN DE DESARROLLO 2024 - 2027'!$M$92</f>
        <v>0.25050860314981654</v>
      </c>
      <c r="C1349" s="869" t="s">
        <v>2078</v>
      </c>
      <c r="D1349" s="878">
        <f>'[1]PLAN DE DESARROLLO 2024 - 2027'!$M$110</f>
        <v>0.16375000000000001</v>
      </c>
      <c r="E1349" s="869" t="s">
        <v>1797</v>
      </c>
      <c r="F1349" s="879">
        <f>[2]Hoja1!$B$156</f>
        <v>0</v>
      </c>
      <c r="G1349" s="869" t="s">
        <v>741</v>
      </c>
      <c r="H1349" s="869" t="s">
        <v>1441</v>
      </c>
      <c r="I1349" s="869"/>
      <c r="J1349" s="869" t="s">
        <v>736</v>
      </c>
      <c r="K1349" s="880" t="s">
        <v>2264</v>
      </c>
    </row>
    <row r="1350" spans="1:11" s="866" customFormat="1" ht="18.75" customHeight="1" x14ac:dyDescent="0.3">
      <c r="A1350" s="869" t="s">
        <v>2076</v>
      </c>
      <c r="B1350" s="881">
        <f>'[1]PLAN DE DESARROLLO 2024 - 2027'!$M$92</f>
        <v>0.25050860314981654</v>
      </c>
      <c r="C1350" s="869" t="s">
        <v>2078</v>
      </c>
      <c r="D1350" s="878">
        <f>'[1]PLAN DE DESARROLLO 2024 - 2027'!$M$110</f>
        <v>0.16375000000000001</v>
      </c>
      <c r="E1350" s="869" t="s">
        <v>1797</v>
      </c>
      <c r="F1350" s="879">
        <f>[2]Hoja1!$B$156</f>
        <v>0</v>
      </c>
      <c r="G1350" s="869" t="s">
        <v>742</v>
      </c>
      <c r="H1350" s="869" t="s">
        <v>1442</v>
      </c>
      <c r="I1350" s="869"/>
      <c r="J1350" s="869" t="s">
        <v>736</v>
      </c>
      <c r="K1350" s="880" t="s">
        <v>2264</v>
      </c>
    </row>
    <row r="1351" spans="1:11" s="866" customFormat="1" ht="28.8" x14ac:dyDescent="0.3">
      <c r="A1351" s="869" t="s">
        <v>2151</v>
      </c>
      <c r="B1351" s="877">
        <f>'[1]PLAN DE DESARROLLO 2024 - 2027'!$M$4</f>
        <v>0.24028917333263158</v>
      </c>
      <c r="C1351" s="869" t="s">
        <v>2153</v>
      </c>
      <c r="D1351" s="878">
        <f>'[1]PLAN DE DESARROLLO 2024 - 2027'!$M$34</f>
        <v>0.12535549571208945</v>
      </c>
      <c r="E1351" s="869" t="s">
        <v>1622</v>
      </c>
      <c r="F1351" s="879">
        <f>[2]Hoja1!$B$94</f>
        <v>0.15668414473684211</v>
      </c>
      <c r="G1351" s="869" t="s">
        <v>324</v>
      </c>
      <c r="H1351" s="869" t="s">
        <v>325</v>
      </c>
      <c r="I1351" s="869"/>
      <c r="J1351" s="869" t="s">
        <v>297</v>
      </c>
      <c r="K1351" s="880" t="s">
        <v>2264</v>
      </c>
    </row>
    <row r="1352" spans="1:11" s="866" customFormat="1" ht="43.2" x14ac:dyDescent="0.3">
      <c r="A1352" s="869" t="s">
        <v>2151</v>
      </c>
      <c r="B1352" s="877">
        <f>'[1]PLAN DE DESARROLLO 2024 - 2027'!$M$4</f>
        <v>0.24028917333263158</v>
      </c>
      <c r="C1352" s="869" t="s">
        <v>2153</v>
      </c>
      <c r="D1352" s="878">
        <f>'[1]PLAN DE DESARROLLO 2024 - 2027'!$M$34</f>
        <v>0.12535549571208945</v>
      </c>
      <c r="E1352" s="869" t="s">
        <v>2177</v>
      </c>
      <c r="F1352" s="879">
        <f>[2]Hoja1!$B$138</f>
        <v>0.33227499999999999</v>
      </c>
      <c r="G1352" s="869" t="s">
        <v>300</v>
      </c>
      <c r="H1352" s="869" t="s">
        <v>301</v>
      </c>
      <c r="I1352" s="869"/>
      <c r="J1352" s="869" t="s">
        <v>297</v>
      </c>
      <c r="K1352" s="880" t="s">
        <v>2264</v>
      </c>
    </row>
    <row r="1353" spans="1:11" s="866" customFormat="1" ht="28.8" x14ac:dyDescent="0.3">
      <c r="A1353" s="869" t="s">
        <v>2151</v>
      </c>
      <c r="B1353" s="877">
        <f>'[1]PLAN DE DESARROLLO 2024 - 2027'!$M$4</f>
        <v>0.24028917333263158</v>
      </c>
      <c r="C1353" s="869" t="s">
        <v>2153</v>
      </c>
      <c r="D1353" s="878">
        <f>'[1]PLAN DE DESARROLLO 2024 - 2027'!$M$34</f>
        <v>0.12535549571208945</v>
      </c>
      <c r="E1353" s="869" t="s">
        <v>2177</v>
      </c>
      <c r="F1353" s="879">
        <f>[2]Hoja1!$B$138</f>
        <v>0.33227499999999999</v>
      </c>
      <c r="G1353" s="869" t="s">
        <v>302</v>
      </c>
      <c r="H1353" s="869" t="s">
        <v>303</v>
      </c>
      <c r="I1353" s="869"/>
      <c r="J1353" s="869" t="s">
        <v>297</v>
      </c>
      <c r="K1353" s="880" t="s">
        <v>2264</v>
      </c>
    </row>
    <row r="1354" spans="1:11" s="866" customFormat="1" ht="28.8" x14ac:dyDescent="0.3">
      <c r="A1354" s="869" t="s">
        <v>2151</v>
      </c>
      <c r="B1354" s="877">
        <f>'[1]PLAN DE DESARROLLO 2024 - 2027'!$M$4</f>
        <v>0.24028917333263158</v>
      </c>
      <c r="C1354" s="869" t="s">
        <v>2153</v>
      </c>
      <c r="D1354" s="878">
        <f>'[1]PLAN DE DESARROLLO 2024 - 2027'!$M$34</f>
        <v>0.12535549571208945</v>
      </c>
      <c r="E1354" s="869" t="s">
        <v>2177</v>
      </c>
      <c r="F1354" s="879">
        <f>[2]Hoja1!$B$138</f>
        <v>0.33227499999999999</v>
      </c>
      <c r="G1354" s="869" t="s">
        <v>304</v>
      </c>
      <c r="H1354" s="869" t="s">
        <v>305</v>
      </c>
      <c r="I1354" s="869"/>
      <c r="J1354" s="869" t="s">
        <v>297</v>
      </c>
      <c r="K1354" s="880" t="s">
        <v>2264</v>
      </c>
    </row>
    <row r="1355" spans="1:11" s="866" customFormat="1" ht="28.8" x14ac:dyDescent="0.3">
      <c r="A1355" s="869" t="s">
        <v>2151</v>
      </c>
      <c r="B1355" s="877">
        <f>'[1]PLAN DE DESARROLLO 2024 - 2027'!$M$4</f>
        <v>0.24028917333263158</v>
      </c>
      <c r="C1355" s="869" t="s">
        <v>2153</v>
      </c>
      <c r="D1355" s="878">
        <f>'[1]PLAN DE DESARROLLO 2024 - 2027'!$M$34</f>
        <v>0.12535549571208945</v>
      </c>
      <c r="E1355" s="869" t="s">
        <v>2181</v>
      </c>
      <c r="F1355" s="879">
        <f>[2]Hoja1!$B$140</f>
        <v>0.14611666666666664</v>
      </c>
      <c r="G1355" s="869" t="s">
        <v>336</v>
      </c>
      <c r="H1355" s="869" t="s">
        <v>337</v>
      </c>
      <c r="I1355" s="869"/>
      <c r="J1355" s="869" t="s">
        <v>297</v>
      </c>
      <c r="K1355" s="880" t="s">
        <v>2264</v>
      </c>
    </row>
    <row r="1356" spans="1:11" s="866" customFormat="1" ht="28.8" x14ac:dyDescent="0.3">
      <c r="A1356" s="869" t="s">
        <v>2151</v>
      </c>
      <c r="B1356" s="877">
        <f>'[1]PLAN DE DESARROLLO 2024 - 2027'!$M$4</f>
        <v>0.24028917333263158</v>
      </c>
      <c r="C1356" s="869" t="s">
        <v>2153</v>
      </c>
      <c r="D1356" s="878">
        <f>'[1]PLAN DE DESARROLLO 2024 - 2027'!$M$34</f>
        <v>0.12535549571208945</v>
      </c>
      <c r="E1356" s="869" t="s">
        <v>2181</v>
      </c>
      <c r="F1356" s="879">
        <f>[2]Hoja1!$B$140</f>
        <v>0.14611666666666664</v>
      </c>
      <c r="G1356" s="869" t="s">
        <v>338</v>
      </c>
      <c r="H1356" s="869" t="s">
        <v>339</v>
      </c>
      <c r="I1356" s="869"/>
      <c r="J1356" s="869" t="s">
        <v>297</v>
      </c>
      <c r="K1356" s="880" t="s">
        <v>2264</v>
      </c>
    </row>
    <row r="1357" spans="1:11" s="866" customFormat="1" ht="28.8" x14ac:dyDescent="0.3">
      <c r="A1357" s="869" t="s">
        <v>2151</v>
      </c>
      <c r="B1357" s="877">
        <f>'[1]PLAN DE DESARROLLO 2024 - 2027'!$M$4</f>
        <v>0.24028917333263158</v>
      </c>
      <c r="C1357" s="869" t="s">
        <v>2153</v>
      </c>
      <c r="D1357" s="878">
        <f>'[1]PLAN DE DESARROLLO 2024 - 2027'!$M$34</f>
        <v>0.12535549571208945</v>
      </c>
      <c r="E1357" s="869" t="s">
        <v>2181</v>
      </c>
      <c r="F1357" s="879">
        <f>[2]Hoja1!$B$140</f>
        <v>0.14611666666666664</v>
      </c>
      <c r="G1357" s="869" t="s">
        <v>340</v>
      </c>
      <c r="H1357" s="869" t="s">
        <v>341</v>
      </c>
      <c r="I1357" s="869"/>
      <c r="J1357" s="869" t="s">
        <v>297</v>
      </c>
      <c r="K1357" s="880" t="s">
        <v>2264</v>
      </c>
    </row>
    <row r="1358" spans="1:11" s="866" customFormat="1" ht="28.8" x14ac:dyDescent="0.3">
      <c r="A1358" s="869" t="s">
        <v>2205</v>
      </c>
      <c r="B1358" s="877">
        <f>'[1]PLAN DE DESARROLLO 2024 - 2027'!$M$46</f>
        <v>0.25251661967012345</v>
      </c>
      <c r="C1358" s="869" t="s">
        <v>2206</v>
      </c>
      <c r="D1358" s="878">
        <f>'[1]PLAN DE DESARROLLO 2024 - 2027'!$M$47</f>
        <v>0.26592582694462413</v>
      </c>
      <c r="E1358" s="869" t="s">
        <v>1651</v>
      </c>
      <c r="F1358" s="879">
        <f>[2]Hoja1!$B$159</f>
        <v>0.15592630718954248</v>
      </c>
      <c r="G1358" s="869" t="s">
        <v>450</v>
      </c>
      <c r="H1358" s="869" t="s">
        <v>451</v>
      </c>
      <c r="I1358" s="869"/>
      <c r="J1358" s="869" t="s">
        <v>2207</v>
      </c>
      <c r="K1358" s="880" t="s">
        <v>2264</v>
      </c>
    </row>
    <row r="1359" spans="1:11" s="866" customFormat="1" ht="28.8" x14ac:dyDescent="0.3">
      <c r="A1359" s="869" t="s">
        <v>2205</v>
      </c>
      <c r="B1359" s="877">
        <f>'[1]PLAN DE DESARROLLO 2024 - 2027'!$M$46</f>
        <v>0.25251661967012345</v>
      </c>
      <c r="C1359" s="869" t="s">
        <v>2206</v>
      </c>
      <c r="D1359" s="878">
        <f>'[1]PLAN DE DESARROLLO 2024 - 2027'!$M$47</f>
        <v>0.26592582694462413</v>
      </c>
      <c r="E1359" s="869" t="s">
        <v>1651</v>
      </c>
      <c r="F1359" s="879">
        <f>[2]Hoja1!$B$159</f>
        <v>0.15592630718954248</v>
      </c>
      <c r="G1359" s="869" t="s">
        <v>452</v>
      </c>
      <c r="H1359" s="869" t="s">
        <v>2231</v>
      </c>
      <c r="I1359" s="869"/>
      <c r="J1359" s="869" t="s">
        <v>2207</v>
      </c>
      <c r="K1359" s="880" t="s">
        <v>2264</v>
      </c>
    </row>
    <row r="1360" spans="1:11" s="866" customFormat="1" ht="28.8" x14ac:dyDescent="0.3">
      <c r="A1360" s="869" t="s">
        <v>2205</v>
      </c>
      <c r="B1360" s="877">
        <f>'[1]PLAN DE DESARROLLO 2024 - 2027'!$M$46</f>
        <v>0.25251661967012345</v>
      </c>
      <c r="C1360" s="869" t="s">
        <v>2206</v>
      </c>
      <c r="D1360" s="878">
        <f>'[1]PLAN DE DESARROLLO 2024 - 2027'!$M$47</f>
        <v>0.26592582694462413</v>
      </c>
      <c r="E1360" s="869" t="s">
        <v>1651</v>
      </c>
      <c r="F1360" s="879">
        <f>[2]Hoja1!$B$159</f>
        <v>0.15592630718954248</v>
      </c>
      <c r="G1360" s="869" t="s">
        <v>454</v>
      </c>
      <c r="H1360" s="869" t="s">
        <v>2232</v>
      </c>
      <c r="I1360" s="869"/>
      <c r="J1360" s="869" t="s">
        <v>2207</v>
      </c>
      <c r="K1360" s="880" t="s">
        <v>2264</v>
      </c>
    </row>
    <row r="1361" spans="1:11" s="866" customFormat="1" ht="43.2" x14ac:dyDescent="0.3">
      <c r="A1361" s="869" t="s">
        <v>2205</v>
      </c>
      <c r="B1361" s="877">
        <f>'[1]PLAN DE DESARROLLO 2024 - 2027'!$M$46</f>
        <v>0.25251661967012345</v>
      </c>
      <c r="C1361" s="869" t="s">
        <v>2206</v>
      </c>
      <c r="D1361" s="878">
        <f>'[1]PLAN DE DESARROLLO 2024 - 2027'!$M$47</f>
        <v>0.26592582694462413</v>
      </c>
      <c r="E1361" s="869" t="s">
        <v>1651</v>
      </c>
      <c r="F1361" s="879">
        <f>[2]Hoja1!$B$159</f>
        <v>0.15592630718954248</v>
      </c>
      <c r="G1361" s="869" t="s">
        <v>456</v>
      </c>
      <c r="H1361" s="869" t="s">
        <v>457</v>
      </c>
      <c r="I1361" s="869"/>
      <c r="J1361" s="869" t="s">
        <v>2207</v>
      </c>
      <c r="K1361" s="880" t="s">
        <v>2264</v>
      </c>
    </row>
    <row r="1362" spans="1:11" s="866" customFormat="1" ht="43.2" x14ac:dyDescent="0.3">
      <c r="A1362" s="869" t="s">
        <v>2205</v>
      </c>
      <c r="B1362" s="877">
        <f>'[1]PLAN DE DESARROLLO 2024 - 2027'!$M$46</f>
        <v>0.25251661967012345</v>
      </c>
      <c r="C1362" s="869" t="s">
        <v>2206</v>
      </c>
      <c r="D1362" s="878">
        <f>'[1]PLAN DE DESARROLLO 2024 - 2027'!$M$47</f>
        <v>0.26592582694462413</v>
      </c>
      <c r="E1362" s="869" t="s">
        <v>2215</v>
      </c>
      <c r="F1362" s="879">
        <f>[2]Hoja1!$B$164</f>
        <v>0.45714235707833262</v>
      </c>
      <c r="G1362" s="869" t="s">
        <v>2216</v>
      </c>
      <c r="H1362" s="869" t="s">
        <v>2217</v>
      </c>
      <c r="I1362" s="869"/>
      <c r="J1362" s="869" t="s">
        <v>2207</v>
      </c>
      <c r="K1362" s="880" t="s">
        <v>2264</v>
      </c>
    </row>
    <row r="1363" spans="1:11" s="866" customFormat="1" ht="43.2" x14ac:dyDescent="0.3">
      <c r="A1363" s="869" t="s">
        <v>2205</v>
      </c>
      <c r="B1363" s="877">
        <f>'[1]PLAN DE DESARROLLO 2024 - 2027'!$M$46</f>
        <v>0.25251661967012345</v>
      </c>
      <c r="C1363" s="869" t="s">
        <v>2206</v>
      </c>
      <c r="D1363" s="878">
        <f>'[1]PLAN DE DESARROLLO 2024 - 2027'!$M$47</f>
        <v>0.26592582694462413</v>
      </c>
      <c r="E1363" s="869" t="s">
        <v>2215</v>
      </c>
      <c r="F1363" s="879">
        <f>[2]Hoja1!$B$164</f>
        <v>0.45714235707833262</v>
      </c>
      <c r="G1363" s="869" t="s">
        <v>384</v>
      </c>
      <c r="H1363" s="869" t="s">
        <v>385</v>
      </c>
      <c r="I1363" s="869"/>
      <c r="J1363" s="869" t="s">
        <v>2207</v>
      </c>
      <c r="K1363" s="880" t="s">
        <v>2264</v>
      </c>
    </row>
    <row r="1364" spans="1:11" s="866" customFormat="1" ht="28.8" x14ac:dyDescent="0.3">
      <c r="A1364" s="869" t="s">
        <v>2205</v>
      </c>
      <c r="B1364" s="877">
        <f>'[1]PLAN DE DESARROLLO 2024 - 2027'!$M$46</f>
        <v>0.25251661967012345</v>
      </c>
      <c r="C1364" s="869" t="s">
        <v>2206</v>
      </c>
      <c r="D1364" s="878">
        <f>'[1]PLAN DE DESARROLLO 2024 - 2027'!$M$47</f>
        <v>0.26592582694462413</v>
      </c>
      <c r="E1364" s="869" t="s">
        <v>2215</v>
      </c>
      <c r="F1364" s="879">
        <f>[2]Hoja1!$B$164</f>
        <v>0.45714235707833262</v>
      </c>
      <c r="G1364" s="869" t="s">
        <v>386</v>
      </c>
      <c r="H1364" s="869" t="s">
        <v>387</v>
      </c>
      <c r="I1364" s="869"/>
      <c r="J1364" s="869" t="s">
        <v>2207</v>
      </c>
      <c r="K1364" s="880" t="s">
        <v>2264</v>
      </c>
    </row>
    <row r="1365" spans="1:11" s="866" customFormat="1" ht="28.8" x14ac:dyDescent="0.3">
      <c r="A1365" s="869" t="s">
        <v>2076</v>
      </c>
      <c r="B1365" s="881">
        <f>'[1]PLAN DE DESARROLLO 2024 - 2027'!$M$92</f>
        <v>0.25050860314981654</v>
      </c>
      <c r="C1365" s="869" t="s">
        <v>2078</v>
      </c>
      <c r="D1365" s="878">
        <f>'[1]PLAN DE DESARROLLO 2024 - 2027'!$M$110</f>
        <v>0.16375000000000001</v>
      </c>
      <c r="E1365" s="869" t="s">
        <v>1797</v>
      </c>
      <c r="F1365" s="879">
        <f>[2]Hoja1!$B$156</f>
        <v>0</v>
      </c>
      <c r="G1365" s="869" t="s">
        <v>743</v>
      </c>
      <c r="H1365" s="869" t="s">
        <v>1443</v>
      </c>
      <c r="I1365" s="869"/>
      <c r="J1365" s="869" t="s">
        <v>736</v>
      </c>
      <c r="K1365" s="880" t="s">
        <v>2264</v>
      </c>
    </row>
    <row r="1366" spans="1:11" s="866" customFormat="1" ht="28.8" x14ac:dyDescent="0.3">
      <c r="A1366" s="869" t="s">
        <v>2076</v>
      </c>
      <c r="B1366" s="881">
        <f>'[1]PLAN DE DESARROLLO 2024 - 2027'!$M$92</f>
        <v>0.25050860314981654</v>
      </c>
      <c r="C1366" s="869" t="s">
        <v>2078</v>
      </c>
      <c r="D1366" s="878">
        <f>'[1]PLAN DE DESARROLLO 2024 - 2027'!$M$110</f>
        <v>0.16375000000000001</v>
      </c>
      <c r="E1366" s="869" t="s">
        <v>1797</v>
      </c>
      <c r="F1366" s="879">
        <f>[2]Hoja1!$B$156</f>
        <v>0</v>
      </c>
      <c r="G1366" s="869" t="s">
        <v>744</v>
      </c>
      <c r="H1366" s="869" t="s">
        <v>1444</v>
      </c>
      <c r="I1366" s="869"/>
      <c r="J1366" s="869" t="s">
        <v>2080</v>
      </c>
      <c r="K1366" s="880" t="s">
        <v>2264</v>
      </c>
    </row>
    <row r="1367" spans="1:11" s="866" customFormat="1" ht="28.8" x14ac:dyDescent="0.3">
      <c r="A1367" s="869" t="s">
        <v>2076</v>
      </c>
      <c r="B1367" s="881">
        <f>'[1]PLAN DE DESARROLLO 2024 - 2027'!$M$92</f>
        <v>0.25050860314981654</v>
      </c>
      <c r="C1367" s="869" t="s">
        <v>2078</v>
      </c>
      <c r="D1367" s="878">
        <f>'[1]PLAN DE DESARROLLO 2024 - 2027'!$M$110</f>
        <v>0.16375000000000001</v>
      </c>
      <c r="E1367" s="869" t="s">
        <v>1797</v>
      </c>
      <c r="F1367" s="879">
        <f>[2]Hoja1!$B$156</f>
        <v>0</v>
      </c>
      <c r="G1367" s="869" t="s">
        <v>746</v>
      </c>
      <c r="H1367" s="869" t="s">
        <v>1445</v>
      </c>
      <c r="I1367" s="869"/>
      <c r="J1367" s="869" t="s">
        <v>736</v>
      </c>
      <c r="K1367" s="880" t="s">
        <v>2264</v>
      </c>
    </row>
    <row r="1368" spans="1:11" s="866" customFormat="1" x14ac:dyDescent="0.3">
      <c r="A1368" s="869" t="s">
        <v>2076</v>
      </c>
      <c r="B1368" s="881">
        <f>'[1]PLAN DE DESARROLLO 2024 - 2027'!$M$92</f>
        <v>0.25050860314981654</v>
      </c>
      <c r="C1368" s="869" t="s">
        <v>2078</v>
      </c>
      <c r="D1368" s="878">
        <f>'[1]PLAN DE DESARROLLO 2024 - 2027'!$M$110</f>
        <v>0.16375000000000001</v>
      </c>
      <c r="E1368" s="869" t="s">
        <v>1797</v>
      </c>
      <c r="F1368" s="879">
        <f>[2]Hoja1!$B$156</f>
        <v>0</v>
      </c>
      <c r="G1368" s="869" t="s">
        <v>747</v>
      </c>
      <c r="H1368" s="869" t="s">
        <v>1446</v>
      </c>
      <c r="I1368" s="869"/>
      <c r="J1368" s="869" t="s">
        <v>736</v>
      </c>
      <c r="K1368" s="880" t="s">
        <v>2264</v>
      </c>
    </row>
    <row r="1369" spans="1:11" s="866" customFormat="1" ht="43.2" x14ac:dyDescent="0.3">
      <c r="A1369" s="869" t="s">
        <v>2205</v>
      </c>
      <c r="B1369" s="877">
        <f>'[1]PLAN DE DESARROLLO 2024 - 2027'!$M$46</f>
        <v>0.25251661967012345</v>
      </c>
      <c r="C1369" s="869" t="s">
        <v>2206</v>
      </c>
      <c r="D1369" s="878">
        <f>'[1]PLAN DE DESARROLLO 2024 - 2027'!$M$47</f>
        <v>0.26592582694462413</v>
      </c>
      <c r="E1369" s="869" t="s">
        <v>2215</v>
      </c>
      <c r="F1369" s="879">
        <f>[2]Hoja1!$B$164</f>
        <v>0.45714235707833262</v>
      </c>
      <c r="G1369" s="869" t="s">
        <v>388</v>
      </c>
      <c r="H1369" s="869" t="s">
        <v>389</v>
      </c>
      <c r="I1369" s="869"/>
      <c r="J1369" s="869" t="s">
        <v>2207</v>
      </c>
      <c r="K1369" s="880" t="s">
        <v>2264</v>
      </c>
    </row>
    <row r="1370" spans="1:11" s="866" customFormat="1" ht="43.2" x14ac:dyDescent="0.3">
      <c r="A1370" s="869" t="s">
        <v>2205</v>
      </c>
      <c r="B1370" s="877">
        <f>'[1]PLAN DE DESARROLLO 2024 - 2027'!$M$46</f>
        <v>0.25251661967012345</v>
      </c>
      <c r="C1370" s="869" t="s">
        <v>2206</v>
      </c>
      <c r="D1370" s="878">
        <f>'[1]PLAN DE DESARROLLO 2024 - 2027'!$M$47</f>
        <v>0.26592582694462413</v>
      </c>
      <c r="E1370" s="869" t="s">
        <v>2215</v>
      </c>
      <c r="F1370" s="879">
        <f>[2]Hoja1!$B$164</f>
        <v>0.45714235707833262</v>
      </c>
      <c r="G1370" s="869" t="s">
        <v>390</v>
      </c>
      <c r="H1370" s="869" t="s">
        <v>391</v>
      </c>
      <c r="I1370" s="869"/>
      <c r="J1370" s="869" t="s">
        <v>2207</v>
      </c>
      <c r="K1370" s="880" t="s">
        <v>2264</v>
      </c>
    </row>
    <row r="1371" spans="1:11" s="866" customFormat="1" x14ac:dyDescent="0.3">
      <c r="A1371" s="869" t="s">
        <v>2205</v>
      </c>
      <c r="B1371" s="877">
        <f>'[1]PLAN DE DESARROLLO 2024 - 2027'!$M$46</f>
        <v>0.25251661967012345</v>
      </c>
      <c r="C1371" s="869" t="s">
        <v>2206</v>
      </c>
      <c r="D1371" s="878">
        <f>'[1]PLAN DE DESARROLLO 2024 - 2027'!$M$47</f>
        <v>0.26592582694462413</v>
      </c>
      <c r="E1371" s="869" t="s">
        <v>2215</v>
      </c>
      <c r="F1371" s="879">
        <f>[2]Hoja1!$B$164</f>
        <v>0.45714235707833262</v>
      </c>
      <c r="G1371" s="869" t="s">
        <v>392</v>
      </c>
      <c r="H1371" s="869" t="s">
        <v>393</v>
      </c>
      <c r="I1371" s="869"/>
      <c r="J1371" s="869" t="s">
        <v>2207</v>
      </c>
      <c r="K1371" s="880" t="s">
        <v>2264</v>
      </c>
    </row>
    <row r="1372" spans="1:11" s="866" customFormat="1" ht="43.2" x14ac:dyDescent="0.3">
      <c r="A1372" s="869" t="s">
        <v>2205</v>
      </c>
      <c r="B1372" s="877">
        <f>'[1]PLAN DE DESARROLLO 2024 - 2027'!$M$46</f>
        <v>0.25251661967012345</v>
      </c>
      <c r="C1372" s="869" t="s">
        <v>2206</v>
      </c>
      <c r="D1372" s="878">
        <f>'[1]PLAN DE DESARROLLO 2024 - 2027'!$M$47</f>
        <v>0.26592582694462413</v>
      </c>
      <c r="E1372" s="869" t="s">
        <v>2215</v>
      </c>
      <c r="F1372" s="879">
        <f>[2]Hoja1!$B$164</f>
        <v>0.45714235707833262</v>
      </c>
      <c r="G1372" s="869" t="s">
        <v>394</v>
      </c>
      <c r="H1372" s="869" t="s">
        <v>395</v>
      </c>
      <c r="I1372" s="869"/>
      <c r="J1372" s="869" t="s">
        <v>2207</v>
      </c>
      <c r="K1372" s="880" t="s">
        <v>2264</v>
      </c>
    </row>
    <row r="1373" spans="1:11" s="866" customFormat="1" ht="43.2" x14ac:dyDescent="0.3">
      <c r="A1373" s="869" t="s">
        <v>2205</v>
      </c>
      <c r="B1373" s="877">
        <f>'[1]PLAN DE DESARROLLO 2024 - 2027'!$M$46</f>
        <v>0.25251661967012345</v>
      </c>
      <c r="C1373" s="869" t="s">
        <v>2261</v>
      </c>
      <c r="D1373" s="878">
        <f>'[1]PLAN DE DESARROLLO 2024 - 2027'!$M$88</f>
        <v>0.26231152970052202</v>
      </c>
      <c r="E1373" s="869" t="s">
        <v>1681</v>
      </c>
      <c r="F1373" s="879">
        <f>[2]Hoja1!$B$18</f>
        <v>0.22035277777777779</v>
      </c>
      <c r="G1373" s="869" t="s">
        <v>669</v>
      </c>
      <c r="H1373" s="869" t="s">
        <v>670</v>
      </c>
      <c r="I1373" s="869"/>
      <c r="J1373" s="869" t="s">
        <v>58</v>
      </c>
      <c r="K1373" s="880" t="s">
        <v>2264</v>
      </c>
    </row>
    <row r="1374" spans="1:11" s="866" customFormat="1" ht="43.2" x14ac:dyDescent="0.3">
      <c r="A1374" s="869" t="s">
        <v>2205</v>
      </c>
      <c r="B1374" s="877">
        <f>'[1]PLAN DE DESARROLLO 2024 - 2027'!$M$46</f>
        <v>0.25251661967012345</v>
      </c>
      <c r="C1374" s="869" t="s">
        <v>2261</v>
      </c>
      <c r="D1374" s="878">
        <f>'[1]PLAN DE DESARROLLO 2024 - 2027'!$M$88</f>
        <v>0.26231152970052202</v>
      </c>
      <c r="E1374" s="869" t="s">
        <v>1681</v>
      </c>
      <c r="F1374" s="879">
        <f>[2]Hoja1!$B$18</f>
        <v>0.22035277777777779</v>
      </c>
      <c r="G1374" s="869" t="s">
        <v>671</v>
      </c>
      <c r="H1374" s="869" t="s">
        <v>672</v>
      </c>
      <c r="I1374" s="869"/>
      <c r="J1374" s="869" t="s">
        <v>58</v>
      </c>
      <c r="K1374" s="880" t="s">
        <v>2264</v>
      </c>
    </row>
    <row r="1375" spans="1:11" s="866" customFormat="1" ht="43.2" x14ac:dyDescent="0.3">
      <c r="A1375" s="869" t="s">
        <v>2205</v>
      </c>
      <c r="B1375" s="877">
        <f>'[1]PLAN DE DESARROLLO 2024 - 2027'!$M$46</f>
        <v>0.25251661967012345</v>
      </c>
      <c r="C1375" s="869" t="s">
        <v>2261</v>
      </c>
      <c r="D1375" s="878">
        <f>'[1]PLAN DE DESARROLLO 2024 - 2027'!$M$88</f>
        <v>0.26231152970052202</v>
      </c>
      <c r="E1375" s="869" t="s">
        <v>1681</v>
      </c>
      <c r="F1375" s="879">
        <f>[2]Hoja1!$B$18</f>
        <v>0.22035277777777779</v>
      </c>
      <c r="G1375" s="869" t="s">
        <v>673</v>
      </c>
      <c r="H1375" s="869" t="s">
        <v>674</v>
      </c>
      <c r="I1375" s="869"/>
      <c r="J1375" s="869" t="s">
        <v>58</v>
      </c>
      <c r="K1375" s="880" t="s">
        <v>2264</v>
      </c>
    </row>
    <row r="1376" spans="1:11" s="866" customFormat="1" ht="28.8" x14ac:dyDescent="0.3">
      <c r="A1376" s="869" t="s">
        <v>2205</v>
      </c>
      <c r="B1376" s="877">
        <f>'[1]PLAN DE DESARROLLO 2024 - 2027'!$M$46</f>
        <v>0.25251661967012345</v>
      </c>
      <c r="C1376" s="869" t="s">
        <v>2261</v>
      </c>
      <c r="D1376" s="878">
        <f>'[1]PLAN DE DESARROLLO 2024 - 2027'!$M$88</f>
        <v>0.26231152970052202</v>
      </c>
      <c r="E1376" s="869" t="s">
        <v>1681</v>
      </c>
      <c r="F1376" s="879">
        <f>[2]Hoja1!$B$18</f>
        <v>0.22035277777777779</v>
      </c>
      <c r="G1376" s="869" t="s">
        <v>675</v>
      </c>
      <c r="H1376" s="869" t="s">
        <v>676</v>
      </c>
      <c r="I1376" s="869"/>
      <c r="J1376" s="869" t="s">
        <v>58</v>
      </c>
      <c r="K1376" s="880" t="s">
        <v>2264</v>
      </c>
    </row>
    <row r="1377" spans="1:11" s="866" customFormat="1" ht="28.8" x14ac:dyDescent="0.3">
      <c r="A1377" s="869" t="s">
        <v>2205</v>
      </c>
      <c r="B1377" s="877">
        <f>'[1]PLAN DE DESARROLLO 2024 - 2027'!$M$46</f>
        <v>0.25251661967012345</v>
      </c>
      <c r="C1377" s="869" t="s">
        <v>2261</v>
      </c>
      <c r="D1377" s="878">
        <f>'[1]PLAN DE DESARROLLO 2024 - 2027'!$M$88</f>
        <v>0.26231152970052202</v>
      </c>
      <c r="E1377" s="869" t="s">
        <v>2262</v>
      </c>
      <c r="F1377" s="879">
        <f>[2]Hoja1!$B$59</f>
        <v>0.17771416533617174</v>
      </c>
      <c r="G1377" s="869" t="s">
        <v>660</v>
      </c>
      <c r="H1377" s="869" t="s">
        <v>661</v>
      </c>
      <c r="I1377" s="869"/>
      <c r="J1377" s="869" t="s">
        <v>58</v>
      </c>
      <c r="K1377" s="880" t="s">
        <v>2264</v>
      </c>
    </row>
    <row r="1378" spans="1:11" s="866" customFormat="1" ht="57.6" x14ac:dyDescent="0.3">
      <c r="A1378" s="869" t="s">
        <v>2205</v>
      </c>
      <c r="B1378" s="877">
        <f>'[1]PLAN DE DESARROLLO 2024 - 2027'!$M$46</f>
        <v>0.25251661967012345</v>
      </c>
      <c r="C1378" s="869" t="s">
        <v>2261</v>
      </c>
      <c r="D1378" s="878">
        <f>'[1]PLAN DE DESARROLLO 2024 - 2027'!$M$88</f>
        <v>0.26231152970052202</v>
      </c>
      <c r="E1378" s="869" t="s">
        <v>2262</v>
      </c>
      <c r="F1378" s="879">
        <f>[2]Hoja1!$B$59</f>
        <v>0.17771416533617174</v>
      </c>
      <c r="G1378" s="869" t="s">
        <v>663</v>
      </c>
      <c r="H1378" s="869" t="s">
        <v>2263</v>
      </c>
      <c r="I1378" s="869"/>
      <c r="J1378" s="869" t="s">
        <v>58</v>
      </c>
      <c r="K1378" s="880" t="s">
        <v>2264</v>
      </c>
    </row>
    <row r="1379" spans="1:11" s="866" customFormat="1" ht="28.8" x14ac:dyDescent="0.3">
      <c r="A1379" s="869" t="s">
        <v>2205</v>
      </c>
      <c r="B1379" s="877">
        <f>'[1]PLAN DE DESARROLLO 2024 - 2027'!$M$46</f>
        <v>0.25251661967012345</v>
      </c>
      <c r="C1379" s="869" t="s">
        <v>2261</v>
      </c>
      <c r="D1379" s="878">
        <f>'[1]PLAN DE DESARROLLO 2024 - 2027'!$M$88</f>
        <v>0.26231152970052202</v>
      </c>
      <c r="E1379" s="869" t="s">
        <v>2262</v>
      </c>
      <c r="F1379" s="879">
        <f>[2]Hoja1!$B$59</f>
        <v>0.17771416533617174</v>
      </c>
      <c r="G1379" s="869" t="s">
        <v>665</v>
      </c>
      <c r="H1379" s="869" t="s">
        <v>666</v>
      </c>
      <c r="I1379" s="869"/>
      <c r="J1379" s="869" t="s">
        <v>58</v>
      </c>
      <c r="K1379" s="880" t="s">
        <v>2264</v>
      </c>
    </row>
    <row r="1380" spans="1:11" s="866" customFormat="1" x14ac:dyDescent="0.3">
      <c r="A1380" s="869" t="s">
        <v>2205</v>
      </c>
      <c r="B1380" s="877">
        <f>'[1]PLAN DE DESARROLLO 2024 - 2027'!$M$46</f>
        <v>0.25251661967012345</v>
      </c>
      <c r="C1380" s="869" t="s">
        <v>2261</v>
      </c>
      <c r="D1380" s="878">
        <f>'[1]PLAN DE DESARROLLO 2024 - 2027'!$M$88</f>
        <v>0.26231152970052202</v>
      </c>
      <c r="E1380" s="869" t="s">
        <v>2262</v>
      </c>
      <c r="F1380" s="879">
        <f>[2]Hoja1!$B$59</f>
        <v>0.17771416533617174</v>
      </c>
      <c r="G1380" s="869" t="s">
        <v>667</v>
      </c>
      <c r="H1380" s="869" t="s">
        <v>668</v>
      </c>
      <c r="I1380" s="869"/>
      <c r="J1380" s="869" t="s">
        <v>58</v>
      </c>
      <c r="K1380" s="880" t="s">
        <v>2264</v>
      </c>
    </row>
    <row r="1381" spans="1:11" s="866" customFormat="1" ht="28.8" x14ac:dyDescent="0.3">
      <c r="A1381" s="869" t="s">
        <v>2076</v>
      </c>
      <c r="B1381" s="881">
        <f>'[1]PLAN DE DESARROLLO 2024 - 2027'!$M$92</f>
        <v>0.25050860314981654</v>
      </c>
      <c r="C1381" s="869" t="s">
        <v>2078</v>
      </c>
      <c r="D1381" s="878">
        <f>'[1]PLAN DE DESARROLLO 2024 - 2027'!$M$110</f>
        <v>0.16375000000000001</v>
      </c>
      <c r="E1381" s="869" t="s">
        <v>1797</v>
      </c>
      <c r="F1381" s="879">
        <f>[2]Hoja1!$B$156</f>
        <v>0</v>
      </c>
      <c r="G1381" s="869" t="s">
        <v>748</v>
      </c>
      <c r="H1381" s="869" t="s">
        <v>1447</v>
      </c>
      <c r="I1381" s="869"/>
      <c r="J1381" s="869" t="s">
        <v>736</v>
      </c>
      <c r="K1381" s="880" t="s">
        <v>2264</v>
      </c>
    </row>
    <row r="1382" spans="1:11" s="866" customFormat="1" ht="28.8" x14ac:dyDescent="0.3">
      <c r="A1382" s="869" t="s">
        <v>2076</v>
      </c>
      <c r="B1382" s="881">
        <f>'[1]PLAN DE DESARROLLO 2024 - 2027'!$M$92</f>
        <v>0.25050860314981654</v>
      </c>
      <c r="C1382" s="869" t="s">
        <v>2078</v>
      </c>
      <c r="D1382" s="878">
        <f>'[1]PLAN DE DESARROLLO 2024 - 2027'!$M$110</f>
        <v>0.16375000000000001</v>
      </c>
      <c r="E1382" s="869" t="s">
        <v>1797</v>
      </c>
      <c r="F1382" s="879">
        <f>[2]Hoja1!$B$156</f>
        <v>0</v>
      </c>
      <c r="G1382" s="869" t="s">
        <v>749</v>
      </c>
      <c r="H1382" s="869" t="s">
        <v>1448</v>
      </c>
      <c r="I1382" s="869"/>
      <c r="J1382" s="869" t="s">
        <v>736</v>
      </c>
      <c r="K1382" s="880" t="s">
        <v>2264</v>
      </c>
    </row>
    <row r="1383" spans="1:11" s="866" customFormat="1" ht="28.8" x14ac:dyDescent="0.3">
      <c r="A1383" s="869" t="s">
        <v>2076</v>
      </c>
      <c r="B1383" s="881">
        <f>'[1]PLAN DE DESARROLLO 2024 - 2027'!$M$92</f>
        <v>0.25050860314981654</v>
      </c>
      <c r="C1383" s="869" t="s">
        <v>2078</v>
      </c>
      <c r="D1383" s="878">
        <f>'[1]PLAN DE DESARROLLO 2024 - 2027'!$M$110</f>
        <v>0.16375000000000001</v>
      </c>
      <c r="E1383" s="869" t="s">
        <v>1797</v>
      </c>
      <c r="F1383" s="879">
        <f>[2]Hoja1!$B$156</f>
        <v>0</v>
      </c>
      <c r="G1383" s="869" t="s">
        <v>750</v>
      </c>
      <c r="H1383" s="869" t="s">
        <v>1449</v>
      </c>
      <c r="I1383" s="869"/>
      <c r="J1383" s="869" t="s">
        <v>736</v>
      </c>
      <c r="K1383" s="880" t="s">
        <v>2264</v>
      </c>
    </row>
    <row r="1384" spans="1:11" s="866" customFormat="1" ht="28.8" x14ac:dyDescent="0.3">
      <c r="A1384" s="869" t="s">
        <v>2076</v>
      </c>
      <c r="B1384" s="881">
        <f>'[1]PLAN DE DESARROLLO 2024 - 2027'!$M$92</f>
        <v>0.25050860314981654</v>
      </c>
      <c r="C1384" s="869" t="s">
        <v>2078</v>
      </c>
      <c r="D1384" s="878">
        <f>'[1]PLAN DE DESARROLLO 2024 - 2027'!$M$110</f>
        <v>0.16375000000000001</v>
      </c>
      <c r="E1384" s="869" t="s">
        <v>1797</v>
      </c>
      <c r="F1384" s="879">
        <f>[2]Hoja1!$B$156</f>
        <v>0</v>
      </c>
      <c r="G1384" s="869" t="s">
        <v>751</v>
      </c>
      <c r="H1384" s="869" t="s">
        <v>1450</v>
      </c>
      <c r="I1384" s="869"/>
      <c r="J1384" s="869" t="s">
        <v>736</v>
      </c>
      <c r="K1384" s="880" t="s">
        <v>2264</v>
      </c>
    </row>
    <row r="1385" spans="1:11" s="866" customFormat="1" ht="28.8" x14ac:dyDescent="0.3">
      <c r="A1385" s="869" t="s">
        <v>2076</v>
      </c>
      <c r="B1385" s="881">
        <f>'[1]PLAN DE DESARROLLO 2024 - 2027'!$M$92</f>
        <v>0.25050860314981654</v>
      </c>
      <c r="C1385" s="869" t="s">
        <v>2078</v>
      </c>
      <c r="D1385" s="878">
        <f>'[1]PLAN DE DESARROLLO 2024 - 2027'!$M$110</f>
        <v>0.16375000000000001</v>
      </c>
      <c r="E1385" s="869" t="s">
        <v>1797</v>
      </c>
      <c r="F1385" s="879">
        <f>[2]Hoja1!$B$156</f>
        <v>0</v>
      </c>
      <c r="G1385" s="869" t="s">
        <v>752</v>
      </c>
      <c r="H1385" s="869" t="s">
        <v>1451</v>
      </c>
      <c r="I1385" s="869"/>
      <c r="J1385" s="869" t="s">
        <v>736</v>
      </c>
      <c r="K1385" s="880" t="s">
        <v>2264</v>
      </c>
    </row>
    <row r="1386" spans="1:11" s="866" customFormat="1" ht="43.2" x14ac:dyDescent="0.3">
      <c r="A1386" s="869" t="s">
        <v>2205</v>
      </c>
      <c r="B1386" s="877">
        <f>'[1]PLAN DE DESARROLLO 2024 - 2027'!$M$46</f>
        <v>0.25251661967012345</v>
      </c>
      <c r="C1386" s="869" t="s">
        <v>2261</v>
      </c>
      <c r="D1386" s="878">
        <f>'[1]PLAN DE DESARROLLO 2024 - 2027'!$M$88</f>
        <v>0.26231152970052202</v>
      </c>
      <c r="E1386" s="869" t="s">
        <v>1682</v>
      </c>
      <c r="F1386" s="879">
        <f>[2]Hoja1!$B$99</f>
        <v>0.47346501035196686</v>
      </c>
      <c r="G1386" s="869" t="s">
        <v>677</v>
      </c>
      <c r="H1386" s="869" t="s">
        <v>678</v>
      </c>
      <c r="I1386" s="869"/>
      <c r="J1386" s="869" t="s">
        <v>58</v>
      </c>
      <c r="K1386" s="880" t="s">
        <v>2264</v>
      </c>
    </row>
    <row r="1387" spans="1:11" s="866" customFormat="1" ht="28.8" x14ac:dyDescent="0.3">
      <c r="A1387" s="869" t="s">
        <v>2205</v>
      </c>
      <c r="B1387" s="877">
        <f>'[1]PLAN DE DESARROLLO 2024 - 2027'!$M$46</f>
        <v>0.25251661967012345</v>
      </c>
      <c r="C1387" s="869" t="s">
        <v>2261</v>
      </c>
      <c r="D1387" s="878">
        <f>'[1]PLAN DE DESARROLLO 2024 - 2027'!$M$88</f>
        <v>0.26231152970052202</v>
      </c>
      <c r="E1387" s="869" t="s">
        <v>1682</v>
      </c>
      <c r="F1387" s="879">
        <f>[2]Hoja1!$B$99</f>
        <v>0.47346501035196686</v>
      </c>
      <c r="G1387" s="869" t="s">
        <v>679</v>
      </c>
      <c r="H1387" s="869" t="s">
        <v>680</v>
      </c>
      <c r="I1387" s="869"/>
      <c r="J1387" s="869" t="s">
        <v>58</v>
      </c>
      <c r="K1387" s="880" t="s">
        <v>2264</v>
      </c>
    </row>
    <row r="1388" spans="1:11" s="866" customFormat="1" ht="28.8" x14ac:dyDescent="0.3">
      <c r="A1388" s="869" t="s">
        <v>2205</v>
      </c>
      <c r="B1388" s="877">
        <f>'[1]PLAN DE DESARROLLO 2024 - 2027'!$M$46</f>
        <v>0.25251661967012345</v>
      </c>
      <c r="C1388" s="869" t="s">
        <v>2240</v>
      </c>
      <c r="D1388" s="878">
        <f>'[1]PLAN DE DESARROLLO 2024 - 2027'!$M$68</f>
        <v>0.14932529411764706</v>
      </c>
      <c r="E1388" s="869" t="s">
        <v>1661</v>
      </c>
      <c r="F1388" s="879">
        <f>[2]Hoja1!$B$105</f>
        <v>0.24345098039215687</v>
      </c>
      <c r="G1388" s="869" t="s">
        <v>552</v>
      </c>
      <c r="H1388" s="869" t="s">
        <v>553</v>
      </c>
      <c r="I1388" s="869"/>
      <c r="J1388" s="869" t="s">
        <v>551</v>
      </c>
      <c r="K1388" s="880" t="s">
        <v>2264</v>
      </c>
    </row>
    <row r="1389" spans="1:11" s="866" customFormat="1" x14ac:dyDescent="0.3">
      <c r="A1389" s="869" t="s">
        <v>2205</v>
      </c>
      <c r="B1389" s="877">
        <f>'[1]PLAN DE DESARROLLO 2024 - 2027'!$M$46</f>
        <v>0.25251661967012345</v>
      </c>
      <c r="C1389" s="869" t="s">
        <v>2240</v>
      </c>
      <c r="D1389" s="878">
        <f>'[1]PLAN DE DESARROLLO 2024 - 2027'!$M$68</f>
        <v>0.14932529411764706</v>
      </c>
      <c r="E1389" s="869" t="s">
        <v>1662</v>
      </c>
      <c r="F1389" s="879">
        <f>[2]Hoja1!$B$106</f>
        <v>0.24099999999999999</v>
      </c>
      <c r="G1389" s="869" t="s">
        <v>554</v>
      </c>
      <c r="H1389" s="869" t="s">
        <v>555</v>
      </c>
      <c r="I1389" s="869"/>
      <c r="J1389" s="869" t="s">
        <v>551</v>
      </c>
      <c r="K1389" s="880" t="s">
        <v>2264</v>
      </c>
    </row>
    <row r="1390" spans="1:11" s="866" customFormat="1" ht="43.2" x14ac:dyDescent="0.3">
      <c r="A1390" s="869" t="s">
        <v>2205</v>
      </c>
      <c r="B1390" s="877">
        <f>'[1]PLAN DE DESARROLLO 2024 - 2027'!$M$46</f>
        <v>0.25251661967012345</v>
      </c>
      <c r="C1390" s="869" t="s">
        <v>2240</v>
      </c>
      <c r="D1390" s="878">
        <f>'[1]PLAN DE DESARROLLO 2024 - 2027'!$M$68</f>
        <v>0.14932529411764706</v>
      </c>
      <c r="E1390" s="869" t="s">
        <v>2242</v>
      </c>
      <c r="F1390" s="879">
        <f>[2]Hoja1!$B$108</f>
        <v>7.8800000000000009E-2</v>
      </c>
      <c r="G1390" s="869" t="s">
        <v>556</v>
      </c>
      <c r="H1390" s="869" t="s">
        <v>557</v>
      </c>
      <c r="I1390" s="869"/>
      <c r="J1390" s="869" t="s">
        <v>551</v>
      </c>
      <c r="K1390" s="880" t="s">
        <v>2264</v>
      </c>
    </row>
    <row r="1391" spans="1:11" s="866" customFormat="1" ht="28.8" x14ac:dyDescent="0.3">
      <c r="A1391" s="869" t="s">
        <v>2205</v>
      </c>
      <c r="B1391" s="877">
        <f>'[1]PLAN DE DESARROLLO 2024 - 2027'!$M$46</f>
        <v>0.25251661967012345</v>
      </c>
      <c r="C1391" s="869" t="s">
        <v>2240</v>
      </c>
      <c r="D1391" s="878">
        <f>'[1]PLAN DE DESARROLLO 2024 - 2027'!$M$68</f>
        <v>0.14932529411764706</v>
      </c>
      <c r="E1391" s="869" t="s">
        <v>2242</v>
      </c>
      <c r="F1391" s="879">
        <f>[2]Hoja1!$B$108</f>
        <v>7.8800000000000009E-2</v>
      </c>
      <c r="G1391" s="869" t="s">
        <v>558</v>
      </c>
      <c r="H1391" s="869" t="s">
        <v>559</v>
      </c>
      <c r="I1391" s="869"/>
      <c r="J1391" s="869" t="s">
        <v>560</v>
      </c>
      <c r="K1391" s="880" t="s">
        <v>2264</v>
      </c>
    </row>
    <row r="1392" spans="1:11" s="866" customFormat="1" x14ac:dyDescent="0.3">
      <c r="A1392" s="869" t="s">
        <v>2205</v>
      </c>
      <c r="B1392" s="877">
        <f>'[1]PLAN DE DESARROLLO 2024 - 2027'!$M$46</f>
        <v>0.25251661967012345</v>
      </c>
      <c r="C1392" s="869" t="s">
        <v>2240</v>
      </c>
      <c r="D1392" s="878">
        <f>'[1]PLAN DE DESARROLLO 2024 - 2027'!$M$68</f>
        <v>0.14932529411764706</v>
      </c>
      <c r="E1392" s="869" t="s">
        <v>2242</v>
      </c>
      <c r="F1392" s="879">
        <f>[2]Hoja1!$B$108</f>
        <v>7.8800000000000009E-2</v>
      </c>
      <c r="G1392" s="869" t="s">
        <v>561</v>
      </c>
      <c r="H1392" s="869" t="s">
        <v>562</v>
      </c>
      <c r="I1392" s="869"/>
      <c r="J1392" s="869" t="s">
        <v>551</v>
      </c>
      <c r="K1392" s="880" t="s">
        <v>2264</v>
      </c>
    </row>
    <row r="1393" spans="1:11" s="866" customFormat="1" ht="28.8" x14ac:dyDescent="0.3">
      <c r="A1393" s="869" t="s">
        <v>2205</v>
      </c>
      <c r="B1393" s="877">
        <f>'[1]PLAN DE DESARROLLO 2024 - 2027'!$M$46</f>
        <v>0.25251661967012345</v>
      </c>
      <c r="C1393" s="869" t="s">
        <v>2240</v>
      </c>
      <c r="D1393" s="878">
        <f>'[1]PLAN DE DESARROLLO 2024 - 2027'!$M$68</f>
        <v>0.14932529411764706</v>
      </c>
      <c r="E1393" s="869" t="s">
        <v>2241</v>
      </c>
      <c r="F1393" s="879">
        <f>[2]Hoja1!$B$163</f>
        <v>4.1099999999999998E-2</v>
      </c>
      <c r="G1393" s="869" t="s">
        <v>549</v>
      </c>
      <c r="H1393" s="869" t="s">
        <v>550</v>
      </c>
      <c r="I1393" s="869"/>
      <c r="J1393" s="869" t="s">
        <v>551</v>
      </c>
      <c r="K1393" s="880" t="s">
        <v>2264</v>
      </c>
    </row>
    <row r="1394" spans="1:11" ht="28.8" x14ac:dyDescent="0.3">
      <c r="A1394" s="869" t="s">
        <v>2025</v>
      </c>
      <c r="B1394" s="885">
        <v>0</v>
      </c>
      <c r="C1394" s="869" t="s">
        <v>2042</v>
      </c>
      <c r="D1394" s="878">
        <v>0</v>
      </c>
      <c r="E1394" s="869" t="s">
        <v>1751</v>
      </c>
      <c r="F1394" s="879">
        <v>0</v>
      </c>
      <c r="G1394" s="869" t="s">
        <v>951</v>
      </c>
      <c r="H1394" s="869" t="s">
        <v>1387</v>
      </c>
      <c r="J1394" s="869" t="s">
        <v>560</v>
      </c>
      <c r="K1394" s="886" t="s">
        <v>2004</v>
      </c>
    </row>
    <row r="1395" spans="1:11" ht="28.8" x14ac:dyDescent="0.3">
      <c r="A1395" s="869" t="s">
        <v>2025</v>
      </c>
      <c r="B1395" s="885">
        <v>0</v>
      </c>
      <c r="C1395" s="869" t="s">
        <v>2042</v>
      </c>
      <c r="D1395" s="878">
        <v>0</v>
      </c>
      <c r="E1395" s="869" t="s">
        <v>1751</v>
      </c>
      <c r="F1395" s="879">
        <v>0</v>
      </c>
      <c r="G1395" s="869" t="s">
        <v>952</v>
      </c>
      <c r="H1395" s="869" t="s">
        <v>1388</v>
      </c>
      <c r="J1395" s="869" t="s">
        <v>953</v>
      </c>
      <c r="K1395" s="886" t="s">
        <v>2004</v>
      </c>
    </row>
    <row r="1396" spans="1:11" ht="28.8" x14ac:dyDescent="0.3">
      <c r="A1396" s="869" t="s">
        <v>2025</v>
      </c>
      <c r="B1396" s="885">
        <v>0</v>
      </c>
      <c r="C1396" s="869" t="s">
        <v>2042</v>
      </c>
      <c r="D1396" s="878">
        <v>0</v>
      </c>
      <c r="E1396" s="869" t="s">
        <v>1751</v>
      </c>
      <c r="F1396" s="879">
        <v>0</v>
      </c>
      <c r="G1396" s="869" t="s">
        <v>954</v>
      </c>
      <c r="H1396" s="869" t="s">
        <v>1389</v>
      </c>
      <c r="J1396" s="869" t="s">
        <v>1872</v>
      </c>
      <c r="K1396" s="886" t="s">
        <v>2004</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3:F54"/>
  <sheetViews>
    <sheetView zoomScale="40" zoomScaleNormal="40" workbookViewId="0">
      <selection activeCell="C25" sqref="C25"/>
    </sheetView>
  </sheetViews>
  <sheetFormatPr baseColWidth="10" defaultRowHeight="14.4" x14ac:dyDescent="0.3"/>
  <cols>
    <col min="3" max="3" width="125.77734375" customWidth="1"/>
    <col min="4" max="4" width="67.109375" customWidth="1"/>
    <col min="5" max="5" width="56.88671875" customWidth="1"/>
    <col min="6" max="6" width="36" customWidth="1"/>
  </cols>
  <sheetData>
    <row r="3" spans="3:6" ht="93.6" x14ac:dyDescent="0.3">
      <c r="C3" s="976"/>
      <c r="D3" s="977" t="s">
        <v>2390</v>
      </c>
      <c r="E3" s="977" t="s">
        <v>2388</v>
      </c>
      <c r="F3" s="977" t="s">
        <v>2389</v>
      </c>
    </row>
    <row r="4" spans="3:6" ht="73.2" customHeight="1" x14ac:dyDescent="0.65">
      <c r="C4" s="978" t="s">
        <v>1588</v>
      </c>
      <c r="D4" s="979">
        <f>+'SEGUIMIENTO DEL PLAN DE DESARRO'!F3</f>
        <v>0.49456039128851637</v>
      </c>
      <c r="E4" s="980">
        <v>0.5020023857457443</v>
      </c>
      <c r="F4" s="982">
        <f>+D4-E4</f>
        <v>-7.4419944572279295E-3</v>
      </c>
    </row>
    <row r="5" spans="3:6" ht="84.6" customHeight="1" x14ac:dyDescent="0.3">
      <c r="C5" s="981" t="str">
        <f>+'SEGUIMIENTO DEL PLAN DE DESARRO'!B4</f>
        <v xml:space="preserve"> SEGURIDAD HUMANA
</v>
      </c>
      <c r="D5" s="979">
        <f>+'SEGUIMIENTO DEL PLAN DE DESARRO'!F4</f>
        <v>0.62864059258648508</v>
      </c>
      <c r="E5" s="980">
        <v>0.61218984525965447</v>
      </c>
      <c r="F5" s="982">
        <f t="shared" ref="F5:F10" si="0">+D5-E5</f>
        <v>1.6450747326830606E-2</v>
      </c>
    </row>
    <row r="6" spans="3:6" ht="67.2" x14ac:dyDescent="0.3">
      <c r="C6" s="981" t="str">
        <f>+'SEGUIMIENTO DEL PLAN DE DESARRO'!B5</f>
        <v xml:space="preserve"> VIDA DIGNA
</v>
      </c>
      <c r="D6" s="979">
        <f>+'SEGUIMIENTO DEL PLAN DE DESARRO'!F5</f>
        <v>0.52261573838975106</v>
      </c>
      <c r="E6" s="980">
        <v>0.54684174372440431</v>
      </c>
      <c r="F6" s="982">
        <f t="shared" si="0"/>
        <v>-2.4226005334653244E-2</v>
      </c>
    </row>
    <row r="7" spans="3:6" ht="67.2" x14ac:dyDescent="0.3">
      <c r="C7" s="981" t="str">
        <f>+'SEGUIMIENTO DEL PLAN DE DESARRO'!B6</f>
        <v xml:space="preserve"> DESARROLLO ECONÓMICO EQUITATIVO
</v>
      </c>
      <c r="D7" s="979">
        <f>+'SEGUIMIENTO DEL PLAN DE DESARRO'!F6</f>
        <v>0.5453371327856642</v>
      </c>
      <c r="E7" s="980">
        <v>0.57077618047162071</v>
      </c>
      <c r="F7" s="982">
        <f t="shared" si="0"/>
        <v>-2.5439047685956506E-2</v>
      </c>
    </row>
    <row r="8" spans="3:6" ht="67.2" x14ac:dyDescent="0.3">
      <c r="C8" s="981" t="str">
        <f>+'SEGUIMIENTO DEL PLAN DE DESARRO'!B7</f>
        <v xml:space="preserve">CARTAGENA CIUDAD CONECTADA Y SOSTENIBLE
</v>
      </c>
      <c r="D8" s="979">
        <f>+'SEGUIMIENTO DEL PLAN DE DESARRO'!F7</f>
        <v>0.45227036521371067</v>
      </c>
      <c r="E8" s="980">
        <v>0.45762029306363849</v>
      </c>
      <c r="F8" s="982">
        <f t="shared" si="0"/>
        <v>-5.3499278499278269E-3</v>
      </c>
    </row>
    <row r="9" spans="3:6" ht="52.8" customHeight="1" x14ac:dyDescent="0.3">
      <c r="C9" s="981" t="str">
        <f>+'SEGUIMIENTO DEL PLAN DE DESARRO'!B8</f>
        <v xml:space="preserve"> INNOVACIÓN PÚBLICA Y PARTICIPACIÓN CIUDADANA
</v>
      </c>
      <c r="D9" s="979">
        <f>+'SEGUIMIENTO DEL PLAN DE DESARRO'!F8</f>
        <v>0.49982398409907869</v>
      </c>
      <c r="E9" s="980">
        <v>0.49805847417737026</v>
      </c>
      <c r="F9" s="982">
        <f t="shared" si="0"/>
        <v>1.7655099217084302E-3</v>
      </c>
    </row>
    <row r="10" spans="3:6" ht="67.2" x14ac:dyDescent="0.3">
      <c r="C10" s="981" t="str">
        <f>+'SEGUIMIENTO DEL PLAN DE DESARRO'!B9</f>
        <v xml:space="preserve">CAPÍTULO DE LOS PUEBLOS Y COMUNIDADES ÉTNICAS
</v>
      </c>
      <c r="D10" s="979">
        <f>+'SEGUIMIENTO DEL PLAN DE DESARRO'!F9</f>
        <v>0.31880731922398586</v>
      </c>
      <c r="E10" s="980">
        <v>0.32652777777777775</v>
      </c>
      <c r="F10" s="982">
        <f t="shared" si="0"/>
        <v>-7.7204585537918868E-3</v>
      </c>
    </row>
    <row r="26" spans="4:6" ht="32.4" x14ac:dyDescent="0.6">
      <c r="D26" s="983">
        <v>0.49419619862321573</v>
      </c>
      <c r="E26" s="983">
        <v>0.5020023857457443</v>
      </c>
      <c r="F26" s="983">
        <v>-7.8061871225285628E-3</v>
      </c>
    </row>
    <row r="27" spans="4:6" ht="32.4" x14ac:dyDescent="0.6">
      <c r="D27" s="983">
        <v>0.62418546438135691</v>
      </c>
      <c r="E27" s="983">
        <v>0.61218984525965447</v>
      </c>
      <c r="F27" s="983">
        <v>1.1995619121702439E-2</v>
      </c>
    </row>
    <row r="28" spans="4:6" ht="32.4" x14ac:dyDescent="0.6">
      <c r="D28" s="983">
        <v>0.52056862280937166</v>
      </c>
      <c r="E28" s="983">
        <v>0.54684174372440431</v>
      </c>
      <c r="F28" s="983">
        <v>-2.6273120915032644E-2</v>
      </c>
    </row>
    <row r="29" spans="4:6" ht="32.4" x14ac:dyDescent="0.6">
      <c r="D29" s="983">
        <v>0.5453371327856642</v>
      </c>
      <c r="E29" s="983">
        <v>0.57077618047162071</v>
      </c>
      <c r="F29" s="983">
        <v>-2.5439047685956506E-2</v>
      </c>
    </row>
    <row r="30" spans="4:6" ht="32.4" x14ac:dyDescent="0.6">
      <c r="D30" s="983">
        <v>0.45510331524978564</v>
      </c>
      <c r="E30" s="983">
        <v>0.45762029306363849</v>
      </c>
      <c r="F30" s="983">
        <v>-2.5169778138528498E-3</v>
      </c>
    </row>
    <row r="31" spans="4:6" ht="32.4" x14ac:dyDescent="0.6">
      <c r="D31" s="983">
        <v>0.50130812185670715</v>
      </c>
      <c r="E31" s="983">
        <v>0.49805847417737026</v>
      </c>
      <c r="F31" s="983">
        <v>3.2496476793368867E-3</v>
      </c>
    </row>
    <row r="32" spans="4:6" ht="32.4" x14ac:dyDescent="0.6">
      <c r="D32" s="983">
        <v>0.31880731922398586</v>
      </c>
      <c r="E32" s="983">
        <v>0.32652777777777775</v>
      </c>
      <c r="F32" s="983">
        <v>-7.7204585537918868E-3</v>
      </c>
    </row>
    <row r="33" spans="3:6" x14ac:dyDescent="0.3">
      <c r="D33" s="14"/>
      <c r="E33" s="14"/>
      <c r="F33" s="14"/>
    </row>
    <row r="43" spans="3:6" ht="15" thickBot="1" x14ac:dyDescent="0.35"/>
    <row r="44" spans="3:6" ht="101.4" thickBot="1" x14ac:dyDescent="0.7">
      <c r="C44" s="992"/>
      <c r="D44" s="994" t="s">
        <v>2408</v>
      </c>
      <c r="E44" s="993" t="s">
        <v>2402</v>
      </c>
      <c r="F44" s="993" t="s">
        <v>2403</v>
      </c>
    </row>
    <row r="45" spans="3:6" ht="75" customHeight="1" x14ac:dyDescent="0.7">
      <c r="C45" s="997" t="s">
        <v>2401</v>
      </c>
      <c r="D45" s="985">
        <v>5</v>
      </c>
      <c r="E45" s="998">
        <v>1</v>
      </c>
      <c r="F45" s="998">
        <v>5</v>
      </c>
    </row>
    <row r="46" spans="3:6" ht="33.6" x14ac:dyDescent="0.65">
      <c r="C46" s="989" t="s">
        <v>12</v>
      </c>
      <c r="D46" s="986">
        <v>2</v>
      </c>
      <c r="E46" s="995">
        <v>1</v>
      </c>
      <c r="F46" s="995">
        <v>1</v>
      </c>
    </row>
    <row r="47" spans="3:6" ht="33.6" x14ac:dyDescent="0.65">
      <c r="C47" s="989" t="s">
        <v>31</v>
      </c>
      <c r="D47" s="986">
        <v>5</v>
      </c>
      <c r="E47" s="995">
        <v>1</v>
      </c>
      <c r="F47" s="995">
        <v>4</v>
      </c>
    </row>
    <row r="48" spans="3:6" ht="33.6" x14ac:dyDescent="0.65">
      <c r="C48" s="989" t="s">
        <v>58</v>
      </c>
      <c r="D48" s="986">
        <v>2</v>
      </c>
      <c r="E48" s="996"/>
      <c r="F48" s="995">
        <v>2</v>
      </c>
    </row>
    <row r="49" spans="3:6" ht="33.6" x14ac:dyDescent="0.65">
      <c r="C49" s="989" t="s">
        <v>2404</v>
      </c>
      <c r="D49" s="986">
        <v>8</v>
      </c>
      <c r="E49" s="995">
        <v>6</v>
      </c>
      <c r="F49" s="995">
        <v>2</v>
      </c>
    </row>
    <row r="50" spans="3:6" ht="67.2" x14ac:dyDescent="0.65">
      <c r="C50" s="989" t="s">
        <v>2350</v>
      </c>
      <c r="D50" s="986">
        <v>2</v>
      </c>
      <c r="E50" s="995">
        <v>2</v>
      </c>
      <c r="F50" s="996"/>
    </row>
    <row r="51" spans="3:6" ht="33.6" x14ac:dyDescent="0.65">
      <c r="C51" s="989" t="s">
        <v>2405</v>
      </c>
      <c r="D51" s="986">
        <v>15</v>
      </c>
      <c r="E51" s="995">
        <v>4</v>
      </c>
      <c r="F51" s="995">
        <v>11</v>
      </c>
    </row>
    <row r="52" spans="3:6" ht="33.6" x14ac:dyDescent="0.65">
      <c r="C52" s="989" t="s">
        <v>2406</v>
      </c>
      <c r="D52" s="986">
        <v>3</v>
      </c>
      <c r="E52" s="995">
        <v>0</v>
      </c>
      <c r="F52" s="995">
        <v>3</v>
      </c>
    </row>
    <row r="53" spans="3:6" ht="34.200000000000003" thickBot="1" x14ac:dyDescent="0.7">
      <c r="C53" s="990" t="s">
        <v>516</v>
      </c>
      <c r="D53" s="987">
        <v>11</v>
      </c>
      <c r="E53" s="999">
        <v>4</v>
      </c>
      <c r="F53" s="999">
        <v>7</v>
      </c>
    </row>
    <row r="54" spans="3:6" ht="34.200000000000003" thickBot="1" x14ac:dyDescent="0.7">
      <c r="C54" s="991" t="s">
        <v>2407</v>
      </c>
      <c r="D54" s="988">
        <f>SUM(D45:D53)</f>
        <v>53</v>
      </c>
      <c r="E54" s="1000">
        <f>SUM(E45:E53)</f>
        <v>19</v>
      </c>
      <c r="F54" s="1000">
        <f>SUM(F45:F53)</f>
        <v>35</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I405"/>
  <sheetViews>
    <sheetView zoomScale="30" zoomScaleNormal="30" workbookViewId="0">
      <pane xSplit="3" ySplit="2" topLeftCell="N3" activePane="bottomRight" state="frozen"/>
      <selection pane="topRight" activeCell="D1" sqref="D1"/>
      <selection pane="bottomLeft" activeCell="A3" sqref="A3"/>
      <selection pane="bottomRight" activeCell="AC1" sqref="AC1:AI1048576"/>
    </sheetView>
  </sheetViews>
  <sheetFormatPr baseColWidth="10" defaultColWidth="14.44140625" defaultRowHeight="122.4" customHeight="1" x14ac:dyDescent="0.4"/>
  <cols>
    <col min="1" max="1" width="0.33203125" style="333" customWidth="1"/>
    <col min="2" max="2" width="59.5546875" style="333" customWidth="1"/>
    <col min="3" max="3" width="59.21875" style="333" customWidth="1"/>
    <col min="4" max="4" width="38" style="714" customWidth="1"/>
    <col min="5" max="5" width="31.6640625" style="333" customWidth="1"/>
    <col min="6" max="6" width="36.5546875" style="443" customWidth="1"/>
    <col min="7" max="7" width="28.5546875" style="333" customWidth="1"/>
    <col min="8" max="8" width="33" style="333" customWidth="1"/>
    <col min="9" max="9" width="33.33203125" style="333" customWidth="1"/>
    <col min="10" max="10" width="40.6640625" style="333" customWidth="1"/>
    <col min="11" max="11" width="44" style="333" customWidth="1"/>
    <col min="12" max="12" width="40.88671875" style="333" customWidth="1"/>
    <col min="13" max="13" width="33.5546875" style="578" customWidth="1"/>
    <col min="14" max="14" width="36" style="333" customWidth="1"/>
    <col min="15" max="15" width="38.21875" style="333" customWidth="1"/>
    <col min="16" max="16" width="35.6640625" style="333" customWidth="1"/>
    <col min="17" max="18" width="34.88671875" style="333" customWidth="1"/>
    <col min="19" max="19" width="29.77734375" style="333" customWidth="1"/>
    <col min="20" max="20" width="31.6640625" style="333" customWidth="1"/>
    <col min="21" max="21" width="39.44140625" style="333" customWidth="1"/>
    <col min="22" max="22" width="41" style="333" customWidth="1"/>
    <col min="23" max="23" width="37.33203125" style="333" customWidth="1"/>
    <col min="24" max="24" width="40.109375" style="333" customWidth="1"/>
    <col min="25" max="25" width="39.77734375" style="333" customWidth="1"/>
    <col min="26" max="26" width="38.33203125" style="333" customWidth="1"/>
    <col min="27" max="27" width="42.44140625" style="333" customWidth="1"/>
    <col min="28" max="28" width="42.77734375" style="333" customWidth="1"/>
    <col min="29" max="29" width="51.44140625" style="333" hidden="1" customWidth="1"/>
    <col min="30" max="30" width="66.5546875" style="333" hidden="1" customWidth="1"/>
    <col min="31" max="31" width="48.5546875" style="333" hidden="1" customWidth="1"/>
    <col min="32" max="32" width="51.5546875" style="333" hidden="1" customWidth="1"/>
    <col min="33" max="33" width="64.21875" style="333" hidden="1" customWidth="1"/>
    <col min="34" max="34" width="71.109375" style="333" hidden="1" customWidth="1"/>
    <col min="35" max="35" width="76.6640625" style="333" hidden="1" customWidth="1"/>
    <col min="36" max="41" width="10.6640625" style="333" customWidth="1"/>
    <col min="42" max="16384" width="14.44140625" style="333"/>
  </cols>
  <sheetData>
    <row r="1" spans="1:113" ht="12.6" customHeight="1" thickBot="1" x14ac:dyDescent="0.45">
      <c r="A1" s="331"/>
      <c r="B1" s="331"/>
      <c r="C1" s="331"/>
      <c r="D1" s="685"/>
      <c r="E1" s="331"/>
      <c r="F1" s="332"/>
      <c r="G1" s="331"/>
      <c r="H1" s="331"/>
      <c r="I1" s="331"/>
      <c r="J1" s="331"/>
      <c r="K1" s="331"/>
      <c r="L1" s="331"/>
      <c r="M1" s="572"/>
      <c r="N1" s="331"/>
      <c r="O1" s="331"/>
      <c r="P1" s="331"/>
      <c r="Q1" s="331"/>
      <c r="R1" s="331"/>
      <c r="S1" s="331"/>
      <c r="T1" s="331"/>
      <c r="U1" s="331"/>
      <c r="V1" s="331"/>
      <c r="W1" s="331"/>
      <c r="X1" s="331"/>
      <c r="Y1" s="331"/>
      <c r="Z1" s="331"/>
      <c r="AA1" s="331"/>
      <c r="AB1" s="331"/>
      <c r="AC1" s="331"/>
      <c r="AD1" s="331"/>
      <c r="AE1" s="331"/>
      <c r="AF1" s="331"/>
      <c r="AG1" s="331"/>
    </row>
    <row r="2" spans="1:113" s="342" customFormat="1" ht="222.6" customHeight="1" thickBot="1" x14ac:dyDescent="0.45">
      <c r="A2" s="334"/>
      <c r="B2" s="1294" t="s">
        <v>0</v>
      </c>
      <c r="C2" s="1295"/>
      <c r="D2" s="335" t="s">
        <v>1</v>
      </c>
      <c r="E2" s="336" t="s">
        <v>2</v>
      </c>
      <c r="F2" s="337" t="s">
        <v>3</v>
      </c>
      <c r="G2" s="337" t="s">
        <v>4</v>
      </c>
      <c r="H2" s="337" t="s">
        <v>1873</v>
      </c>
      <c r="I2" s="337" t="s">
        <v>5</v>
      </c>
      <c r="J2" s="337" t="s">
        <v>1874</v>
      </c>
      <c r="K2" s="338" t="s">
        <v>6</v>
      </c>
      <c r="L2" s="338" t="s">
        <v>1875</v>
      </c>
      <c r="M2" s="339" t="s">
        <v>1847</v>
      </c>
      <c r="N2" s="1157" t="s">
        <v>1876</v>
      </c>
      <c r="O2" s="1157" t="s">
        <v>1878</v>
      </c>
      <c r="P2" s="1157" t="s">
        <v>1877</v>
      </c>
      <c r="Q2" s="1157" t="s">
        <v>2442</v>
      </c>
      <c r="R2" s="1157" t="s">
        <v>2486</v>
      </c>
      <c r="S2" s="1157" t="s">
        <v>1879</v>
      </c>
      <c r="T2" s="1157" t="s">
        <v>1880</v>
      </c>
      <c r="U2" s="539" t="s">
        <v>7</v>
      </c>
      <c r="V2" s="1196" t="s">
        <v>2487</v>
      </c>
      <c r="W2" s="464" t="s">
        <v>8</v>
      </c>
      <c r="X2" s="1165" t="s">
        <v>2489</v>
      </c>
      <c r="Y2" s="463" t="s">
        <v>1882</v>
      </c>
      <c r="Z2" s="1197" t="s">
        <v>2488</v>
      </c>
      <c r="AA2" s="667" t="s">
        <v>1849</v>
      </c>
      <c r="AB2" s="1165" t="s">
        <v>2490</v>
      </c>
      <c r="AC2" s="340" t="s">
        <v>2491</v>
      </c>
      <c r="AD2" s="600" t="s">
        <v>1883</v>
      </c>
      <c r="AE2" s="601" t="s">
        <v>2298</v>
      </c>
      <c r="AF2" s="1082" t="s">
        <v>2299</v>
      </c>
      <c r="AG2" s="1083" t="s">
        <v>2351</v>
      </c>
      <c r="AH2" s="1083" t="s">
        <v>2443</v>
      </c>
      <c r="AI2" s="1083" t="s">
        <v>1881</v>
      </c>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c r="BT2" s="341"/>
      <c r="BU2" s="341"/>
      <c r="BV2" s="341"/>
      <c r="BW2" s="341"/>
      <c r="BX2" s="341"/>
      <c r="BY2" s="341"/>
      <c r="BZ2" s="341"/>
      <c r="CA2" s="341"/>
      <c r="CB2" s="341"/>
      <c r="CC2" s="341"/>
      <c r="CD2" s="341"/>
      <c r="CE2" s="341"/>
      <c r="CF2" s="341"/>
      <c r="CG2" s="341"/>
      <c r="CH2" s="341"/>
      <c r="CI2" s="341"/>
      <c r="CJ2" s="341"/>
      <c r="CK2" s="341"/>
      <c r="CL2" s="341"/>
      <c r="CM2" s="341"/>
      <c r="CN2" s="341"/>
      <c r="CO2" s="341"/>
      <c r="CP2" s="341"/>
      <c r="CQ2" s="341"/>
      <c r="CR2" s="341"/>
      <c r="CS2" s="341"/>
      <c r="CT2" s="341"/>
      <c r="CU2" s="341"/>
      <c r="CV2" s="341"/>
      <c r="CW2" s="341"/>
      <c r="CX2" s="341"/>
      <c r="CY2" s="341"/>
      <c r="CZ2" s="341"/>
      <c r="DA2" s="341"/>
      <c r="DB2" s="341"/>
      <c r="DC2" s="341"/>
      <c r="DD2" s="341"/>
      <c r="DE2" s="341"/>
      <c r="DF2" s="341"/>
      <c r="DG2" s="341"/>
      <c r="DH2" s="341"/>
      <c r="DI2" s="341"/>
    </row>
    <row r="3" spans="1:113" s="864" customFormat="1" ht="122.4" customHeight="1" thickBot="1" x14ac:dyDescent="0.55000000000000004">
      <c r="A3" s="852"/>
      <c r="B3" s="1302" t="s">
        <v>1639</v>
      </c>
      <c r="C3" s="1303"/>
      <c r="D3" s="853"/>
      <c r="E3" s="854">
        <v>0.2</v>
      </c>
      <c r="F3" s="855"/>
      <c r="G3" s="856"/>
      <c r="H3" s="857"/>
      <c r="I3" s="858">
        <f>+(I4+I91+I119+I130+I164+I192)/6</f>
        <v>0.25323854832043019</v>
      </c>
      <c r="J3" s="858">
        <f>+(J4+J91+J119+J130+J164+J192)/6</f>
        <v>0.29872026705958277</v>
      </c>
      <c r="K3" s="859">
        <f>+(K4+K91+K119+K130+K164+K192)/6</f>
        <v>0.20215522261646302</v>
      </c>
      <c r="L3" s="860">
        <f>+(L4+L91+L119+L130+L164+L192)/6</f>
        <v>0.25366832876982387</v>
      </c>
      <c r="M3" s="861"/>
      <c r="N3" s="862"/>
      <c r="O3" s="863"/>
      <c r="P3" s="862"/>
      <c r="Q3" s="862"/>
      <c r="R3" s="862"/>
      <c r="S3" s="862"/>
      <c r="T3" s="863"/>
      <c r="U3" s="964">
        <f>+(U4+U91+U119+U130+U164+U192)/6</f>
        <v>0.84448226383644498</v>
      </c>
      <c r="V3" s="964">
        <f>+(V4+V1+V119+V130+V164+V192)/6</f>
        <v>0.71761002085769865</v>
      </c>
      <c r="W3" s="965">
        <f>F4+F91+F119+F130+F164+F192</f>
        <v>0.65816842348257643</v>
      </c>
      <c r="X3" s="965">
        <f>H4+H91+H119+H130+H164+H192</f>
        <v>0.74578757103734938</v>
      </c>
      <c r="Y3" s="966">
        <f>+(Y4+Y91+Y119+Y130+Y164+Y192)/6</f>
        <v>0.21601693102515732</v>
      </c>
      <c r="Z3" s="974">
        <f>+(Z4+Z91+Z119+Z130+Z164+Z192)/6</f>
        <v>0.5127485650474547</v>
      </c>
      <c r="AA3" s="965">
        <f>+(AA4+AA91+AA119+AA130+AA164+AA192)/6</f>
        <v>0.17720527157842844</v>
      </c>
      <c r="AB3" s="965">
        <f>+(AB4*E4)+(AB91*E91)+(AB119*E119)+(AB130*E130)+(AB164*E164)+(AB192*E192)</f>
        <v>0.48090129462939524</v>
      </c>
      <c r="AC3" s="1076"/>
      <c r="AD3" s="1084"/>
      <c r="AE3" s="1084"/>
      <c r="AF3" s="1084"/>
      <c r="AG3" s="1084"/>
      <c r="AH3" s="1085"/>
      <c r="AI3" s="1085"/>
    </row>
    <row r="4" spans="1:113" s="729" customFormat="1" ht="76.2" customHeight="1" thickBot="1" x14ac:dyDescent="0.55000000000000004">
      <c r="A4" s="730"/>
      <c r="B4" s="1304" t="s">
        <v>1638</v>
      </c>
      <c r="C4" s="1305"/>
      <c r="D4" s="731"/>
      <c r="E4" s="732">
        <v>0.3</v>
      </c>
      <c r="F4" s="733">
        <f>+E4*W4</f>
        <v>0.19400364635079345</v>
      </c>
      <c r="G4" s="734"/>
      <c r="H4" s="851">
        <f>E4*X4</f>
        <v>0.22883178317440464</v>
      </c>
      <c r="I4" s="735">
        <f>+(I5+I12+I15+I21+I29+I34+I39+I43+I49+I52+I56+I60+I68+I73+I77+I85)/15</f>
        <v>0.26981900399515463</v>
      </c>
      <c r="J4" s="735">
        <f>+(J5+J12+J15+J21+J29+J34+J39+J43+J49+J52+J56+J60+J68+J73+J77+J85)/16</f>
        <v>0.26016382169667063</v>
      </c>
      <c r="K4" s="736">
        <f>+(K5+K12+K15+K21+K29+K34+K39+K43+K49+K52+K56+K60+K68+K73+K77+K85)/15</f>
        <v>0.25378937395993473</v>
      </c>
      <c r="L4" s="736">
        <f>+(L5+L12+L15+L21+L29+L34+L39+L43+L49+L52+L56+L60+L68+L73+L77+L85)/16</f>
        <v>0.25173882005686626</v>
      </c>
      <c r="M4" s="737"/>
      <c r="N4" s="738"/>
      <c r="O4" s="738"/>
      <c r="P4" s="738"/>
      <c r="Q4" s="738"/>
      <c r="R4" s="738"/>
      <c r="S4" s="738"/>
      <c r="T4" s="738"/>
      <c r="U4" s="739">
        <f>+(U5+U12+U15+U21+U29+U34+U39+U43+U49+U52+U56+U60+U68+U73+U77+U85)/15</f>
        <v>0.67517996637046018</v>
      </c>
      <c r="V4" s="739">
        <f>+(V5+V12+V15+V21+V29+V34+V39+V43+V49+V52+V56+V60+V68+V73+V77+V85)/16</f>
        <v>0.85005352404281742</v>
      </c>
      <c r="W4" s="740">
        <f>+W5+W12+W15+W21+W29+W34+W39+W43+W49+W52+W56+W60+W68+W73+W77+W85</f>
        <v>0.64667882116931152</v>
      </c>
      <c r="X4" s="740">
        <f>+X5+X12+X15+X21+X29+X34+X39+X43+X49+X52+X56+X60+X68+X73+X77+X85</f>
        <v>0.76277261058134882</v>
      </c>
      <c r="Y4" s="741">
        <f>(Y5+Y12+Y15+Y21+Y29+Y34+Y39+Y43+Y49+Y52+Y56+Y60+Y68+Y73+Y77+Y85)/15</f>
        <v>0.21288627727196741</v>
      </c>
      <c r="Z4" s="741">
        <f>(Z5+Z12+Z15+Z21+Z29+Z34+Z39+Z43+Z49+Z52+Z56+Z60+Z68+Z73+Z77+Z85)/16</f>
        <v>0.50550379134463475</v>
      </c>
      <c r="AA4" s="740">
        <f>+AA5+AA12+AA15+AA21+AA29+AA34+AA39+AA43+AA49+AA52+AA56+AA60+AA68+AA73+AA77+AA85</f>
        <v>0.19455564139729131</v>
      </c>
      <c r="AB4" s="740">
        <f>+(AB5*E5)+(AB12*E12)+(AB15*E15)+(AB21*E21)+(AB29*E29)+(AB34*E34)+(AB39*E39)+(AB43*E43)+(AB49*E49)+(AB52*E52)+(AB56*E56)+(AB60*E60)+(AB68*E68)+(AB73*E73)+(AB77*E77)+(AB85*E85)</f>
        <v>0.44645446238331843</v>
      </c>
      <c r="AC4" s="1077"/>
      <c r="AD4" s="745"/>
      <c r="AE4" s="745"/>
      <c r="AF4" s="745"/>
      <c r="AG4" s="745"/>
      <c r="AH4" s="1086"/>
      <c r="AI4" s="1085"/>
    </row>
    <row r="5" spans="1:113" s="729" customFormat="1" ht="122.4" customHeight="1" thickBot="1" x14ac:dyDescent="0.55000000000000004">
      <c r="A5" s="730"/>
      <c r="B5" s="1306" t="s">
        <v>1640</v>
      </c>
      <c r="C5" s="1307"/>
      <c r="D5" s="731"/>
      <c r="E5" s="742">
        <v>0.25</v>
      </c>
      <c r="F5" s="743"/>
      <c r="G5" s="744"/>
      <c r="H5" s="745"/>
      <c r="I5" s="746">
        <f>+AVERAGE(I6:I11)</f>
        <v>0.13533333333333333</v>
      </c>
      <c r="J5" s="746">
        <f>+AVERAGE(J6:J11)</f>
        <v>0.26333333333333325</v>
      </c>
      <c r="K5" s="747">
        <f>+K6+K7+K8+K9+K10+K11</f>
        <v>0.12433333333333335</v>
      </c>
      <c r="L5" s="747">
        <f>+L6+L7+L8+L9+L10+L11</f>
        <v>0.25883333333333336</v>
      </c>
      <c r="M5" s="748"/>
      <c r="N5" s="749"/>
      <c r="O5" s="749"/>
      <c r="P5" s="749"/>
      <c r="Q5" s="749"/>
      <c r="R5" s="749"/>
      <c r="S5" s="749"/>
      <c r="T5" s="749"/>
      <c r="U5" s="750">
        <f>+AVERAGE(U6:U11)</f>
        <v>0.65125</v>
      </c>
      <c r="V5" s="750">
        <f>+AVERAGE(V6:V11)</f>
        <v>0.69885620915032687</v>
      </c>
      <c r="W5" s="751">
        <f>+(W6+W7+W8+W9+W10+W11)*E5</f>
        <v>0.15640625000000002</v>
      </c>
      <c r="X5" s="751">
        <f>+(X6+X7+X8+X9+X10+X11)*E5</f>
        <v>0.20357843137254902</v>
      </c>
      <c r="Y5" s="752">
        <f>+AVERAGE(Y6:Y11)</f>
        <v>9.9466666666666662E-2</v>
      </c>
      <c r="Z5" s="936">
        <f>+AVERAGE(Z6:Z11)</f>
        <v>0.29002777777777777</v>
      </c>
      <c r="AA5" s="752">
        <f>+(AA6+AA7+AA8+AA9+AA10+AA11)*E5</f>
        <v>2.3891666666666669E-2</v>
      </c>
      <c r="AB5" s="752">
        <f>+(AB6+AB7+AB8+AB9+AB10+AB11)</f>
        <v>0.34426666666666667</v>
      </c>
      <c r="AC5" s="1078"/>
      <c r="AD5" s="745"/>
      <c r="AE5" s="745"/>
      <c r="AF5" s="745"/>
      <c r="AG5" s="745"/>
      <c r="AH5" s="1086"/>
      <c r="AI5" s="1085"/>
    </row>
    <row r="6" spans="1:113" ht="122.4" customHeight="1" thickBot="1" x14ac:dyDescent="0.45">
      <c r="A6" s="344"/>
      <c r="B6" s="1206" t="s">
        <v>355</v>
      </c>
      <c r="C6" s="1195" t="s">
        <v>356</v>
      </c>
      <c r="D6" s="394" t="s">
        <v>357</v>
      </c>
      <c r="E6" s="352">
        <v>0.1</v>
      </c>
      <c r="F6" s="353">
        <v>1</v>
      </c>
      <c r="G6" s="354"/>
      <c r="H6" s="355">
        <v>0.3</v>
      </c>
      <c r="I6" s="356"/>
      <c r="J6" s="356">
        <f>+H6/F6</f>
        <v>0.3</v>
      </c>
      <c r="K6" s="357"/>
      <c r="L6" s="363">
        <f>+(H6/F6)*E6</f>
        <v>0.03</v>
      </c>
      <c r="M6" s="358"/>
      <c r="N6" s="359">
        <v>0.1</v>
      </c>
      <c r="O6" s="651">
        <v>0</v>
      </c>
      <c r="P6" s="651">
        <v>0</v>
      </c>
      <c r="Q6" s="647">
        <v>0</v>
      </c>
      <c r="R6" s="647">
        <v>0</v>
      </c>
      <c r="S6" s="721">
        <f>+N6+O6+P6+Q6+R6</f>
        <v>0.1</v>
      </c>
      <c r="T6" s="358">
        <f t="shared" ref="T6:T11" si="0">+S6+M6</f>
        <v>0.1</v>
      </c>
      <c r="U6" s="360"/>
      <c r="V6" s="361">
        <f>+S6/H6</f>
        <v>0.33333333333333337</v>
      </c>
      <c r="W6" s="361"/>
      <c r="X6" s="361">
        <f t="shared" ref="X6:X11" si="1">+V6*E6</f>
        <v>3.333333333333334E-2</v>
      </c>
      <c r="Y6" s="361"/>
      <c r="Z6" s="361">
        <f t="shared" ref="Z6:Z11" si="2">+T6/F6</f>
        <v>0.1</v>
      </c>
      <c r="AA6" s="361"/>
      <c r="AB6" s="361">
        <f t="shared" ref="AB6:AB11" si="3">+Z6*E6</f>
        <v>1.0000000000000002E-2</v>
      </c>
      <c r="AC6" s="648" t="s">
        <v>1893</v>
      </c>
      <c r="AD6" s="650" t="s">
        <v>1907</v>
      </c>
      <c r="AE6" s="650" t="s">
        <v>2272</v>
      </c>
      <c r="AF6" s="1087" t="s">
        <v>2297</v>
      </c>
      <c r="AG6" s="1087" t="s">
        <v>2412</v>
      </c>
      <c r="AH6" s="1087" t="s">
        <v>2447</v>
      </c>
      <c r="AI6" s="677" t="s">
        <v>2564</v>
      </c>
    </row>
    <row r="7" spans="1:113" ht="122.4" customHeight="1" thickBot="1" x14ac:dyDescent="0.45">
      <c r="A7" s="344"/>
      <c r="B7" s="1206" t="s">
        <v>358</v>
      </c>
      <c r="C7" s="1195" t="s">
        <v>359</v>
      </c>
      <c r="D7" s="394" t="s">
        <v>357</v>
      </c>
      <c r="E7" s="352">
        <v>0.1</v>
      </c>
      <c r="F7" s="353">
        <v>60</v>
      </c>
      <c r="G7" s="354">
        <v>5</v>
      </c>
      <c r="H7" s="355">
        <v>17</v>
      </c>
      <c r="I7" s="362">
        <f>+G7/F7</f>
        <v>8.3333333333333329E-2</v>
      </c>
      <c r="J7" s="356">
        <f>+H7/F7</f>
        <v>0.28333333333333333</v>
      </c>
      <c r="K7" s="363">
        <f>+(G7/F7)*E7</f>
        <v>8.3333333333333332E-3</v>
      </c>
      <c r="L7" s="363">
        <f>+(H7/F7)*E7</f>
        <v>2.8333333333333335E-2</v>
      </c>
      <c r="M7" s="721">
        <v>1</v>
      </c>
      <c r="N7" s="651">
        <v>0</v>
      </c>
      <c r="O7" s="651">
        <v>0</v>
      </c>
      <c r="P7" s="651">
        <v>0</v>
      </c>
      <c r="Q7" s="647">
        <v>0</v>
      </c>
      <c r="R7" s="647">
        <v>0</v>
      </c>
      <c r="S7" s="721">
        <f t="shared" ref="S7:S13" si="4">+N7+O7+P7+Q7+R7</f>
        <v>0</v>
      </c>
      <c r="T7" s="358">
        <f t="shared" si="0"/>
        <v>1</v>
      </c>
      <c r="U7" s="360">
        <f>+(M7/G7)</f>
        <v>0.2</v>
      </c>
      <c r="V7" s="361">
        <f>+S7/H7</f>
        <v>0</v>
      </c>
      <c r="W7" s="361">
        <f>+U7*E7</f>
        <v>2.0000000000000004E-2</v>
      </c>
      <c r="X7" s="361">
        <f t="shared" si="1"/>
        <v>0</v>
      </c>
      <c r="Y7" s="361">
        <f>+M7/F7</f>
        <v>1.6666666666666666E-2</v>
      </c>
      <c r="Z7" s="366">
        <f t="shared" si="2"/>
        <v>1.6666666666666666E-2</v>
      </c>
      <c r="AA7" s="366">
        <f>+Y7*E7</f>
        <v>1.6666666666666668E-3</v>
      </c>
      <c r="AB7" s="366">
        <f t="shared" si="3"/>
        <v>1.6666666666666668E-3</v>
      </c>
      <c r="AC7" s="648" t="s">
        <v>1850</v>
      </c>
      <c r="AD7" s="650" t="s">
        <v>1907</v>
      </c>
      <c r="AE7" s="650" t="s">
        <v>2272</v>
      </c>
      <c r="AF7" s="1087" t="s">
        <v>2297</v>
      </c>
      <c r="AG7" s="1087" t="s">
        <v>2412</v>
      </c>
      <c r="AH7" s="1087" t="s">
        <v>2447</v>
      </c>
      <c r="AI7" s="677" t="s">
        <v>2564</v>
      </c>
    </row>
    <row r="8" spans="1:113" ht="122.4" customHeight="1" thickBot="1" x14ac:dyDescent="0.45">
      <c r="A8" s="344"/>
      <c r="B8" s="1229" t="s">
        <v>360</v>
      </c>
      <c r="C8" s="1204" t="s">
        <v>361</v>
      </c>
      <c r="D8" s="394" t="s">
        <v>357</v>
      </c>
      <c r="E8" s="352">
        <v>0.2</v>
      </c>
      <c r="F8" s="353">
        <v>5</v>
      </c>
      <c r="G8" s="354">
        <v>1</v>
      </c>
      <c r="H8" s="355">
        <v>1</v>
      </c>
      <c r="I8" s="362">
        <f>+G8/F8</f>
        <v>0.2</v>
      </c>
      <c r="J8" s="356">
        <f t="shared" ref="J8:J48" si="5">+H8/F8</f>
        <v>0.2</v>
      </c>
      <c r="K8" s="363">
        <f>+(G8/F8)*E8</f>
        <v>4.0000000000000008E-2</v>
      </c>
      <c r="L8" s="363">
        <f>+(H8/F8)*E8</f>
        <v>4.0000000000000008E-2</v>
      </c>
      <c r="M8" s="1021">
        <v>1</v>
      </c>
      <c r="N8" s="647">
        <v>0</v>
      </c>
      <c r="O8" s="647">
        <v>0.4</v>
      </c>
      <c r="P8" s="365">
        <v>0.12</v>
      </c>
      <c r="Q8" s="647">
        <v>0</v>
      </c>
      <c r="R8" s="647">
        <v>0.43</v>
      </c>
      <c r="S8" s="721">
        <f t="shared" si="4"/>
        <v>0.95</v>
      </c>
      <c r="T8" s="358">
        <f t="shared" si="0"/>
        <v>1.95</v>
      </c>
      <c r="U8" s="360">
        <f>+(M8/G8)</f>
        <v>1</v>
      </c>
      <c r="V8" s="361">
        <f>+S8/H8</f>
        <v>0.95</v>
      </c>
      <c r="W8" s="361">
        <f>+U8*E8</f>
        <v>0.2</v>
      </c>
      <c r="X8" s="361">
        <f t="shared" si="1"/>
        <v>0.19</v>
      </c>
      <c r="Y8" s="361">
        <f>+M8/F8</f>
        <v>0.2</v>
      </c>
      <c r="Z8" s="361">
        <f t="shared" si="2"/>
        <v>0.39</v>
      </c>
      <c r="AA8" s="361">
        <f>+Y8*E8</f>
        <v>4.0000000000000008E-2</v>
      </c>
      <c r="AB8" s="361">
        <f t="shared" si="3"/>
        <v>7.8000000000000014E-2</v>
      </c>
      <c r="AC8" s="648" t="s">
        <v>1850</v>
      </c>
      <c r="AD8" s="650" t="s">
        <v>1907</v>
      </c>
      <c r="AE8" s="650" t="s">
        <v>2272</v>
      </c>
      <c r="AF8" s="1087" t="s">
        <v>2297</v>
      </c>
      <c r="AG8" s="1087" t="s">
        <v>2412</v>
      </c>
      <c r="AH8" s="1087" t="s">
        <v>2447</v>
      </c>
      <c r="AI8" s="677" t="s">
        <v>2564</v>
      </c>
    </row>
    <row r="9" spans="1:113" ht="122.4" customHeight="1" thickBot="1" x14ac:dyDescent="0.45">
      <c r="A9" s="344"/>
      <c r="B9" s="1206" t="s">
        <v>362</v>
      </c>
      <c r="C9" s="1195" t="s">
        <v>363</v>
      </c>
      <c r="D9" s="394" t="s">
        <v>357</v>
      </c>
      <c r="E9" s="352">
        <v>0.3</v>
      </c>
      <c r="F9" s="353">
        <v>15</v>
      </c>
      <c r="G9" s="354">
        <v>2</v>
      </c>
      <c r="H9" s="355">
        <v>4</v>
      </c>
      <c r="I9" s="362">
        <f>+G9/F9</f>
        <v>0.13333333333333333</v>
      </c>
      <c r="J9" s="356">
        <f t="shared" si="5"/>
        <v>0.26666666666666666</v>
      </c>
      <c r="K9" s="363">
        <f>+(G9/F9)*E9</f>
        <v>0.04</v>
      </c>
      <c r="L9" s="363">
        <f t="shared" ref="L9:L11" si="6">+(H9/F9)*E9</f>
        <v>0.08</v>
      </c>
      <c r="M9" s="721">
        <v>1</v>
      </c>
      <c r="N9" s="651">
        <v>1</v>
      </c>
      <c r="O9" s="651">
        <v>1</v>
      </c>
      <c r="P9" s="651">
        <v>3</v>
      </c>
      <c r="Q9" s="647">
        <v>0</v>
      </c>
      <c r="R9" s="647">
        <v>0</v>
      </c>
      <c r="S9" s="721">
        <f t="shared" si="4"/>
        <v>5</v>
      </c>
      <c r="T9" s="358">
        <f t="shared" si="0"/>
        <v>6</v>
      </c>
      <c r="U9" s="360">
        <f>+(M9/G9)</f>
        <v>0.5</v>
      </c>
      <c r="V9" s="361">
        <v>1</v>
      </c>
      <c r="W9" s="361">
        <f>+U9*E9</f>
        <v>0.15</v>
      </c>
      <c r="X9" s="361">
        <f t="shared" si="1"/>
        <v>0.3</v>
      </c>
      <c r="Y9" s="361">
        <f>+M9/F9</f>
        <v>6.6666666666666666E-2</v>
      </c>
      <c r="Z9" s="361">
        <f t="shared" si="2"/>
        <v>0.4</v>
      </c>
      <c r="AA9" s="361">
        <f>+Y9*E9</f>
        <v>0.02</v>
      </c>
      <c r="AB9" s="361">
        <f t="shared" si="3"/>
        <v>0.12</v>
      </c>
      <c r="AC9" s="648" t="s">
        <v>1850</v>
      </c>
      <c r="AD9" s="650" t="s">
        <v>1907</v>
      </c>
      <c r="AE9" s="650" t="s">
        <v>2272</v>
      </c>
      <c r="AF9" s="1087" t="s">
        <v>2297</v>
      </c>
      <c r="AG9" s="1087" t="s">
        <v>2412</v>
      </c>
      <c r="AH9" s="1087" t="s">
        <v>2447</v>
      </c>
      <c r="AI9" s="677" t="s">
        <v>2564</v>
      </c>
    </row>
    <row r="10" spans="1:113" ht="122.4" customHeight="1" thickBot="1" x14ac:dyDescent="0.45">
      <c r="A10" s="344"/>
      <c r="B10" s="1206" t="s">
        <v>364</v>
      </c>
      <c r="C10" s="1195" t="s">
        <v>365</v>
      </c>
      <c r="D10" s="394" t="s">
        <v>357</v>
      </c>
      <c r="E10" s="352">
        <v>0.2</v>
      </c>
      <c r="F10" s="353">
        <v>80</v>
      </c>
      <c r="G10" s="354">
        <v>8</v>
      </c>
      <c r="H10" s="355">
        <v>22</v>
      </c>
      <c r="I10" s="362">
        <f>+G10/F10</f>
        <v>0.1</v>
      </c>
      <c r="J10" s="356">
        <f>+H10/F10</f>
        <v>0.27500000000000002</v>
      </c>
      <c r="K10" s="363">
        <f>+(G10/F10)*E10</f>
        <v>2.0000000000000004E-2</v>
      </c>
      <c r="L10" s="363">
        <f t="shared" si="6"/>
        <v>5.5000000000000007E-2</v>
      </c>
      <c r="M10" s="721">
        <v>10</v>
      </c>
      <c r="N10" s="651">
        <v>10</v>
      </c>
      <c r="O10" s="651">
        <v>0</v>
      </c>
      <c r="P10" s="651">
        <v>21</v>
      </c>
      <c r="Q10" s="647">
        <v>0</v>
      </c>
      <c r="R10" s="647">
        <v>0</v>
      </c>
      <c r="S10" s="721">
        <f t="shared" si="4"/>
        <v>31</v>
      </c>
      <c r="T10" s="358">
        <f t="shared" si="0"/>
        <v>41</v>
      </c>
      <c r="U10" s="360">
        <v>1</v>
      </c>
      <c r="V10" s="361">
        <v>1</v>
      </c>
      <c r="W10" s="361">
        <f>+U10*E10</f>
        <v>0.2</v>
      </c>
      <c r="X10" s="361">
        <f t="shared" si="1"/>
        <v>0.2</v>
      </c>
      <c r="Y10" s="361">
        <f>+M10/F10</f>
        <v>0.125</v>
      </c>
      <c r="Z10" s="361">
        <f t="shared" si="2"/>
        <v>0.51249999999999996</v>
      </c>
      <c r="AA10" s="361">
        <f>+Y10*E10</f>
        <v>2.5000000000000001E-2</v>
      </c>
      <c r="AB10" s="361">
        <f t="shared" si="3"/>
        <v>0.10249999999999999</v>
      </c>
      <c r="AC10" s="648" t="s">
        <v>1850</v>
      </c>
      <c r="AD10" s="650" t="s">
        <v>1907</v>
      </c>
      <c r="AE10" s="650" t="s">
        <v>2272</v>
      </c>
      <c r="AF10" s="1087" t="s">
        <v>2297</v>
      </c>
      <c r="AG10" s="1087" t="s">
        <v>2412</v>
      </c>
      <c r="AH10" s="1087" t="s">
        <v>2447</v>
      </c>
      <c r="AI10" s="677" t="s">
        <v>2564</v>
      </c>
    </row>
    <row r="11" spans="1:113" ht="122.4" customHeight="1" thickBot="1" x14ac:dyDescent="0.45">
      <c r="A11" s="344"/>
      <c r="B11" s="1206" t="s">
        <v>366</v>
      </c>
      <c r="C11" s="1195" t="s">
        <v>367</v>
      </c>
      <c r="D11" s="394" t="s">
        <v>357</v>
      </c>
      <c r="E11" s="352">
        <v>0.1</v>
      </c>
      <c r="F11" s="353">
        <v>1000</v>
      </c>
      <c r="G11" s="354">
        <v>160</v>
      </c>
      <c r="H11" s="355">
        <v>255</v>
      </c>
      <c r="I11" s="362">
        <f>+G11/F11</f>
        <v>0.16</v>
      </c>
      <c r="J11" s="356">
        <f t="shared" si="5"/>
        <v>0.255</v>
      </c>
      <c r="K11" s="363">
        <f>+(G11/F11)*E11</f>
        <v>1.6E-2</v>
      </c>
      <c r="L11" s="363">
        <f t="shared" si="6"/>
        <v>2.5500000000000002E-2</v>
      </c>
      <c r="M11" s="721">
        <v>89</v>
      </c>
      <c r="N11" s="651">
        <v>111</v>
      </c>
      <c r="O11" s="651">
        <v>75</v>
      </c>
      <c r="P11" s="651">
        <v>17</v>
      </c>
      <c r="Q11" s="647">
        <v>0</v>
      </c>
      <c r="R11" s="647">
        <v>29</v>
      </c>
      <c r="S11" s="721">
        <f t="shared" si="4"/>
        <v>232</v>
      </c>
      <c r="T11" s="358">
        <f t="shared" si="0"/>
        <v>321</v>
      </c>
      <c r="U11" s="360">
        <f>+(M11/G11)</f>
        <v>0.55625000000000002</v>
      </c>
      <c r="V11" s="361">
        <f>+S11/H11</f>
        <v>0.90980392156862744</v>
      </c>
      <c r="W11" s="361">
        <f>+U11*E11</f>
        <v>5.5625000000000008E-2</v>
      </c>
      <c r="X11" s="361">
        <f t="shared" si="1"/>
        <v>9.0980392156862752E-2</v>
      </c>
      <c r="Y11" s="361">
        <f>+M11/F11</f>
        <v>8.8999999999999996E-2</v>
      </c>
      <c r="Z11" s="361">
        <f t="shared" si="2"/>
        <v>0.32100000000000001</v>
      </c>
      <c r="AA11" s="361">
        <f>+Y11*E11</f>
        <v>8.8999999999999999E-3</v>
      </c>
      <c r="AB11" s="361">
        <f t="shared" si="3"/>
        <v>3.2100000000000004E-2</v>
      </c>
      <c r="AC11" s="648" t="s">
        <v>1850</v>
      </c>
      <c r="AD11" s="650" t="s">
        <v>1907</v>
      </c>
      <c r="AE11" s="650" t="s">
        <v>2272</v>
      </c>
      <c r="AF11" s="1087" t="s">
        <v>2297</v>
      </c>
      <c r="AG11" s="1087" t="s">
        <v>2412</v>
      </c>
      <c r="AH11" s="1087" t="s">
        <v>2447</v>
      </c>
      <c r="AI11" s="677" t="s">
        <v>2564</v>
      </c>
    </row>
    <row r="12" spans="1:113" ht="122.4" customHeight="1" thickBot="1" x14ac:dyDescent="0.55000000000000004">
      <c r="A12" s="344"/>
      <c r="B12" s="1306" t="s">
        <v>1641</v>
      </c>
      <c r="C12" s="1307"/>
      <c r="D12" s="345"/>
      <c r="E12" s="349">
        <v>0.02</v>
      </c>
      <c r="F12" s="367"/>
      <c r="G12" s="368"/>
      <c r="H12" s="350"/>
      <c r="I12" s="369">
        <f>+AVERAGE(I13:I14)</f>
        <v>0.33035714285714285</v>
      </c>
      <c r="J12" s="369">
        <f>+AVERAGE(J13:J14)</f>
        <v>0.43154761904761907</v>
      </c>
      <c r="K12" s="370">
        <f>+K13+K14</f>
        <v>0.33928571428571425</v>
      </c>
      <c r="L12" s="370">
        <f>+L13+L14</f>
        <v>0.47023809523809523</v>
      </c>
      <c r="M12" s="358"/>
      <c r="N12" s="371"/>
      <c r="O12" s="371"/>
      <c r="P12" s="371"/>
      <c r="Q12" s="371"/>
      <c r="R12" s="1178"/>
      <c r="S12" s="371"/>
      <c r="T12" s="371"/>
      <c r="U12" s="579">
        <f>+AVERAGE(U13:U15)</f>
        <v>0.76545415896074187</v>
      </c>
      <c r="V12" s="579">
        <f>+AVERAGE(V13:V14)</f>
        <v>1</v>
      </c>
      <c r="W12" s="392">
        <f>+(W13+W14)*E12</f>
        <v>1.4666666666666666E-2</v>
      </c>
      <c r="X12" s="392">
        <f>+(X13+X14)*E12</f>
        <v>0.02</v>
      </c>
      <c r="Y12" s="351">
        <f>+AVERAGE(Y13:Y14)</f>
        <v>0.23511904761904762</v>
      </c>
      <c r="Z12" s="351">
        <f>+AVERAGE(Z13:Z14)</f>
        <v>0.57440476190476186</v>
      </c>
      <c r="AA12" s="351">
        <f>+(AA13+AA14)*E12</f>
        <v>5.261904761904761E-3</v>
      </c>
      <c r="AB12" s="351">
        <f>+(AB13+AB14)</f>
        <v>0.58452380952380956</v>
      </c>
      <c r="AC12" s="764"/>
      <c r="AD12" s="350"/>
      <c r="AE12" s="350"/>
      <c r="AF12" s="350"/>
      <c r="AG12" s="350"/>
      <c r="AH12" s="1088"/>
      <c r="AI12" s="1085"/>
    </row>
    <row r="13" spans="1:113" ht="122.4" customHeight="1" thickBot="1" x14ac:dyDescent="0.45">
      <c r="A13" s="344"/>
      <c r="B13" s="1206" t="s">
        <v>368</v>
      </c>
      <c r="C13" s="1195" t="s">
        <v>369</v>
      </c>
      <c r="D13" s="394" t="s">
        <v>357</v>
      </c>
      <c r="E13" s="352">
        <v>0.6</v>
      </c>
      <c r="F13" s="353">
        <v>40</v>
      </c>
      <c r="G13" s="372">
        <v>15</v>
      </c>
      <c r="H13" s="373">
        <v>25</v>
      </c>
      <c r="I13" s="362">
        <f>+G13/F13</f>
        <v>0.375</v>
      </c>
      <c r="J13" s="362">
        <f t="shared" si="5"/>
        <v>0.625</v>
      </c>
      <c r="K13" s="363">
        <f>+(G13/F13)*E13</f>
        <v>0.22499999999999998</v>
      </c>
      <c r="L13" s="363">
        <f>+(H13/F13)*E13</f>
        <v>0.375</v>
      </c>
      <c r="M13" s="358">
        <v>15</v>
      </c>
      <c r="N13" s="651">
        <v>10</v>
      </c>
      <c r="O13" s="359">
        <v>0</v>
      </c>
      <c r="P13" s="359">
        <v>0</v>
      </c>
      <c r="Q13" s="359">
        <v>0</v>
      </c>
      <c r="R13" s="359">
        <v>0</v>
      </c>
      <c r="S13" s="358">
        <f t="shared" si="4"/>
        <v>10</v>
      </c>
      <c r="T13" s="358">
        <f>+S13+M13</f>
        <v>25</v>
      </c>
      <c r="U13" s="360">
        <f>+(M13/G13)</f>
        <v>1</v>
      </c>
      <c r="V13" s="361">
        <f>+S13/10</f>
        <v>1</v>
      </c>
      <c r="W13" s="361">
        <f>+U13*E13</f>
        <v>0.6</v>
      </c>
      <c r="X13" s="361">
        <f>+V13*E13</f>
        <v>0.6</v>
      </c>
      <c r="Y13" s="361">
        <f>+M13/F13</f>
        <v>0.375</v>
      </c>
      <c r="Z13" s="361">
        <f>+T13/F13</f>
        <v>0.625</v>
      </c>
      <c r="AA13" s="361">
        <f>+Y13*E13</f>
        <v>0.22499999999999998</v>
      </c>
      <c r="AB13" s="361">
        <f>+Z13*E13</f>
        <v>0.375</v>
      </c>
      <c r="AC13" s="648" t="s">
        <v>1850</v>
      </c>
      <c r="AD13" s="650" t="s">
        <v>1908</v>
      </c>
      <c r="AE13" s="650" t="s">
        <v>2272</v>
      </c>
      <c r="AF13" s="1087" t="s">
        <v>2297</v>
      </c>
      <c r="AG13" s="1087" t="s">
        <v>2412</v>
      </c>
      <c r="AH13" s="1087" t="s">
        <v>2447</v>
      </c>
      <c r="AI13" s="677" t="s">
        <v>2564</v>
      </c>
    </row>
    <row r="14" spans="1:113" ht="172.2" customHeight="1" thickBot="1" x14ac:dyDescent="0.45">
      <c r="A14" s="344"/>
      <c r="B14" s="1206" t="s">
        <v>370</v>
      </c>
      <c r="C14" s="1195" t="s">
        <v>371</v>
      </c>
      <c r="D14" s="394" t="s">
        <v>357</v>
      </c>
      <c r="E14" s="352">
        <v>0.4</v>
      </c>
      <c r="F14" s="353">
        <v>105</v>
      </c>
      <c r="G14" s="372">
        <v>30</v>
      </c>
      <c r="H14" s="373">
        <v>25</v>
      </c>
      <c r="I14" s="362">
        <f>+G14/F14</f>
        <v>0.2857142857142857</v>
      </c>
      <c r="J14" s="362">
        <f t="shared" si="5"/>
        <v>0.23809523809523808</v>
      </c>
      <c r="K14" s="363">
        <f>+(G14/F14)*E14</f>
        <v>0.11428571428571428</v>
      </c>
      <c r="L14" s="363">
        <f>+(H14/F14)*E14</f>
        <v>9.5238095238095233E-2</v>
      </c>
      <c r="M14" s="358">
        <v>10</v>
      </c>
      <c r="N14" s="651">
        <v>20</v>
      </c>
      <c r="O14" s="359">
        <v>6</v>
      </c>
      <c r="P14" s="359">
        <v>19</v>
      </c>
      <c r="Q14" s="359">
        <v>0</v>
      </c>
      <c r="R14" s="359">
        <v>0</v>
      </c>
      <c r="S14" s="364">
        <f>+N14+O14+P14+Q14+R14</f>
        <v>45</v>
      </c>
      <c r="T14" s="364">
        <f>+S14+M14</f>
        <v>55</v>
      </c>
      <c r="U14" s="360">
        <f>+(M14/G14)</f>
        <v>0.33333333333333331</v>
      </c>
      <c r="V14" s="361">
        <v>1</v>
      </c>
      <c r="W14" s="361">
        <f>+U14*E14</f>
        <v>0.13333333333333333</v>
      </c>
      <c r="X14" s="361">
        <f>+V14*E14</f>
        <v>0.4</v>
      </c>
      <c r="Y14" s="361">
        <f>+M14/F14</f>
        <v>9.5238095238095233E-2</v>
      </c>
      <c r="Z14" s="361">
        <f>+T14/F14</f>
        <v>0.52380952380952384</v>
      </c>
      <c r="AA14" s="361">
        <f>+Y14*E14</f>
        <v>3.8095238095238099E-2</v>
      </c>
      <c r="AB14" s="361">
        <f>+Z14*E14</f>
        <v>0.20952380952380956</v>
      </c>
      <c r="AC14" s="648" t="s">
        <v>1850</v>
      </c>
      <c r="AD14" s="650" t="s">
        <v>1902</v>
      </c>
      <c r="AE14" s="650" t="s">
        <v>2272</v>
      </c>
      <c r="AF14" s="1087" t="s">
        <v>2297</v>
      </c>
      <c r="AG14" s="1087" t="s">
        <v>2412</v>
      </c>
      <c r="AH14" s="1087" t="s">
        <v>2447</v>
      </c>
      <c r="AI14" s="677" t="s">
        <v>2564</v>
      </c>
    </row>
    <row r="15" spans="1:113" ht="122.4" customHeight="1" thickBot="1" x14ac:dyDescent="0.55000000000000004">
      <c r="A15" s="344"/>
      <c r="B15" s="1306" t="s">
        <v>1642</v>
      </c>
      <c r="C15" s="1307"/>
      <c r="D15" s="345"/>
      <c r="E15" s="349">
        <v>0.1</v>
      </c>
      <c r="F15" s="353"/>
      <c r="G15" s="368"/>
      <c r="H15" s="350"/>
      <c r="I15" s="369">
        <f>+AVERAGE(I16:I20)</f>
        <v>0.24305555555555555</v>
      </c>
      <c r="J15" s="369">
        <f>+AVERAGE(J16:J20)</f>
        <v>0.26562064156206416</v>
      </c>
      <c r="K15" s="370">
        <f>+K16+K17+K18+K19+K20</f>
        <v>0.22361111111111112</v>
      </c>
      <c r="L15" s="370">
        <f>+L16+L17+L18+L19+L20</f>
        <v>0.2536436541143654</v>
      </c>
      <c r="M15" s="358"/>
      <c r="N15" s="371"/>
      <c r="O15" s="371"/>
      <c r="P15" s="371"/>
      <c r="Q15" s="371"/>
      <c r="R15" s="1178"/>
      <c r="S15" s="371"/>
      <c r="T15" s="371"/>
      <c r="U15" s="579">
        <f>+AVERAGE(U16:U20)</f>
        <v>0.96302914354889246</v>
      </c>
      <c r="V15" s="579">
        <f>+AVERAGE(V16:V20)</f>
        <v>0.74378181818181821</v>
      </c>
      <c r="W15" s="392">
        <f>+(W16+W17+W18+W19+W20)*E15</f>
        <v>8.5862844786004616E-2</v>
      </c>
      <c r="X15" s="392">
        <f>+(X16+X17+X18+X19+X20)*E15</f>
        <v>8.4378181818181838E-2</v>
      </c>
      <c r="Y15" s="351">
        <f>+AVERAGE(Y16:Y20)</f>
        <v>0.24497534144277869</v>
      </c>
      <c r="Z15" s="351">
        <f>+AVERAGE(Z16:Z20)</f>
        <v>0.39804672808783126</v>
      </c>
      <c r="AA15" s="351">
        <f>+(AA16+AA17+AA18+AA19+AA20)*E15</f>
        <v>2.2443072307612263E-2</v>
      </c>
      <c r="AB15" s="351">
        <f>+(AB16+AB17+AB18+AB19+AB20)</f>
        <v>0.43835776173121815</v>
      </c>
      <c r="AC15" s="764"/>
      <c r="AD15" s="350"/>
      <c r="AE15" s="350"/>
      <c r="AF15" s="350"/>
      <c r="AG15" s="350"/>
      <c r="AH15" s="1088"/>
      <c r="AI15" s="1085"/>
    </row>
    <row r="16" spans="1:113" ht="122.4" customHeight="1" thickBot="1" x14ac:dyDescent="0.45">
      <c r="A16" s="344"/>
      <c r="B16" s="1229" t="s">
        <v>372</v>
      </c>
      <c r="C16" s="1204" t="s">
        <v>373</v>
      </c>
      <c r="D16" s="394" t="s">
        <v>357</v>
      </c>
      <c r="E16" s="352">
        <v>0.1</v>
      </c>
      <c r="F16" s="353">
        <v>2390</v>
      </c>
      <c r="G16" s="372">
        <v>0</v>
      </c>
      <c r="H16" s="373">
        <v>585</v>
      </c>
      <c r="I16" s="362"/>
      <c r="J16" s="362">
        <f t="shared" si="5"/>
        <v>0.24476987447698745</v>
      </c>
      <c r="K16" s="363"/>
      <c r="L16" s="363">
        <f>+(H16/F16)*E16</f>
        <v>2.4476987447698745E-2</v>
      </c>
      <c r="M16" s="358"/>
      <c r="N16" s="651">
        <v>0</v>
      </c>
      <c r="O16" s="359">
        <v>0</v>
      </c>
      <c r="P16" s="359">
        <v>0</v>
      </c>
      <c r="Q16" s="359">
        <v>0</v>
      </c>
      <c r="R16" s="359">
        <v>0</v>
      </c>
      <c r="S16" s="651">
        <f>+N16+O16+P16+Q16+R16</f>
        <v>0</v>
      </c>
      <c r="T16" s="364">
        <f>+S16+M16</f>
        <v>0</v>
      </c>
      <c r="U16" s="374"/>
      <c r="V16" s="361">
        <v>0</v>
      </c>
      <c r="W16" s="361"/>
      <c r="X16" s="361">
        <f>+V16*E16</f>
        <v>0</v>
      </c>
      <c r="Y16" s="361"/>
      <c r="Z16" s="361">
        <v>0</v>
      </c>
      <c r="AA16" s="361"/>
      <c r="AB16" s="361">
        <f>+Z16*E16</f>
        <v>0</v>
      </c>
      <c r="AC16" s="648" t="s">
        <v>1850</v>
      </c>
      <c r="AD16" s="649" t="s">
        <v>1995</v>
      </c>
      <c r="AE16" s="649" t="s">
        <v>1995</v>
      </c>
      <c r="AF16" s="1087" t="s">
        <v>2297</v>
      </c>
      <c r="AG16" s="1087" t="s">
        <v>2412</v>
      </c>
      <c r="AH16" s="1087" t="s">
        <v>2447</v>
      </c>
      <c r="AI16" s="677" t="s">
        <v>2564</v>
      </c>
    </row>
    <row r="17" spans="1:35" ht="122.4" customHeight="1" thickBot="1" x14ac:dyDescent="0.45">
      <c r="A17" s="344"/>
      <c r="B17" s="1229" t="s">
        <v>374</v>
      </c>
      <c r="C17" s="1204" t="s">
        <v>375</v>
      </c>
      <c r="D17" s="687" t="s">
        <v>357</v>
      </c>
      <c r="E17" s="352">
        <v>0.4</v>
      </c>
      <c r="F17" s="353">
        <f>106487*4</f>
        <v>425948</v>
      </c>
      <c r="G17" s="375">
        <v>106487</v>
      </c>
      <c r="H17" s="376">
        <v>106487</v>
      </c>
      <c r="I17" s="362">
        <f>+G17/F17</f>
        <v>0.25</v>
      </c>
      <c r="J17" s="362">
        <f t="shared" si="5"/>
        <v>0.25</v>
      </c>
      <c r="K17" s="363">
        <f>+(G17/F17)*E17</f>
        <v>0.1</v>
      </c>
      <c r="L17" s="363">
        <f t="shared" ref="L17:L48" si="7">+(H17/F17)*E17</f>
        <v>0.1</v>
      </c>
      <c r="M17" s="377">
        <v>100207</v>
      </c>
      <c r="N17" s="1022">
        <v>101017</v>
      </c>
      <c r="O17" s="1022">
        <v>106414</v>
      </c>
      <c r="P17" s="1022">
        <v>106487</v>
      </c>
      <c r="Q17" s="1142">
        <v>106487</v>
      </c>
      <c r="R17" s="1142">
        <v>106487</v>
      </c>
      <c r="S17" s="651">
        <f>+N17+O17+P17+Q17+R17</f>
        <v>526892</v>
      </c>
      <c r="T17" s="377">
        <f>+S17+M17</f>
        <v>627099</v>
      </c>
      <c r="U17" s="360">
        <f>+(M17/G17)</f>
        <v>0.94102566510466068</v>
      </c>
      <c r="V17" s="366">
        <f>+(P17/H17)*(0.75+0.125+0.125)</f>
        <v>1</v>
      </c>
      <c r="W17" s="361">
        <f>+U17*E17</f>
        <v>0.37641026604186428</v>
      </c>
      <c r="X17" s="361">
        <f>+V17*E17</f>
        <v>0.4</v>
      </c>
      <c r="Y17" s="361">
        <f>+M17/F17</f>
        <v>0.23525641627616517</v>
      </c>
      <c r="Z17" s="937">
        <f>+Y17+((N17*0.0625)/G17)+((O17*0.0625)/G17)+((P17*0.0625)/G17)+((Q17*0.0312)/G17)+(R17*0.0312)/G17</f>
        <v>0.48190308488360084</v>
      </c>
      <c r="AA17" s="361">
        <f>+Y17*E17</f>
        <v>9.4102566510466071E-2</v>
      </c>
      <c r="AB17" s="361">
        <f>+Z17*E17</f>
        <v>0.19276123395344036</v>
      </c>
      <c r="AC17" s="648" t="s">
        <v>1850</v>
      </c>
      <c r="AD17" s="649" t="s">
        <v>1909</v>
      </c>
      <c r="AE17" s="649" t="s">
        <v>1995</v>
      </c>
      <c r="AF17" s="1087" t="s">
        <v>2297</v>
      </c>
      <c r="AG17" s="1087" t="s">
        <v>2412</v>
      </c>
      <c r="AH17" s="1087" t="s">
        <v>2447</v>
      </c>
      <c r="AI17" s="677" t="s">
        <v>2564</v>
      </c>
    </row>
    <row r="18" spans="1:35" ht="122.4" customHeight="1" thickBot="1" x14ac:dyDescent="0.45">
      <c r="A18" s="344"/>
      <c r="B18" s="1229" t="s">
        <v>376</v>
      </c>
      <c r="C18" s="1230" t="s">
        <v>377</v>
      </c>
      <c r="D18" s="688" t="s">
        <v>357</v>
      </c>
      <c r="E18" s="352">
        <v>0.2</v>
      </c>
      <c r="F18" s="353">
        <v>22000</v>
      </c>
      <c r="G18" s="375">
        <v>5500</v>
      </c>
      <c r="H18" s="376">
        <v>5500</v>
      </c>
      <c r="I18" s="362">
        <f>+G18/F18</f>
        <v>0.25</v>
      </c>
      <c r="J18" s="362">
        <f t="shared" si="5"/>
        <v>0.25</v>
      </c>
      <c r="K18" s="363">
        <f>+(G18/F18)*E18</f>
        <v>0.05</v>
      </c>
      <c r="L18" s="363">
        <f t="shared" si="7"/>
        <v>0.05</v>
      </c>
      <c r="M18" s="377">
        <v>5011</v>
      </c>
      <c r="N18" s="1022">
        <v>1787</v>
      </c>
      <c r="O18" s="1022">
        <v>1100</v>
      </c>
      <c r="P18" s="1022">
        <v>0</v>
      </c>
      <c r="Q18" s="1143">
        <v>1067</v>
      </c>
      <c r="R18" s="1143">
        <v>0</v>
      </c>
      <c r="S18" s="651">
        <f>+N18+O18+Q18</f>
        <v>3954</v>
      </c>
      <c r="T18" s="377">
        <f>+S18+M18</f>
        <v>8965</v>
      </c>
      <c r="U18" s="360">
        <f>+(M18/G18)</f>
        <v>0.91109090909090906</v>
      </c>
      <c r="V18" s="361">
        <f>+S18/H18</f>
        <v>0.71890909090909094</v>
      </c>
      <c r="W18" s="361">
        <f>+U18*E18</f>
        <v>0.18221818181818183</v>
      </c>
      <c r="X18" s="361">
        <f>+V18*E18</f>
        <v>0.14378181818181821</v>
      </c>
      <c r="Y18" s="361">
        <f>+M18/F18</f>
        <v>0.22777272727272727</v>
      </c>
      <c r="Z18" s="361">
        <f>+T18/F18</f>
        <v>0.40749999999999997</v>
      </c>
      <c r="AA18" s="361">
        <f>+Y18*E18</f>
        <v>4.5554545454545459E-2</v>
      </c>
      <c r="AB18" s="361">
        <f>+Z18*E18</f>
        <v>8.1500000000000003E-2</v>
      </c>
      <c r="AC18" s="648" t="s">
        <v>1850</v>
      </c>
      <c r="AD18" s="650" t="s">
        <v>1902</v>
      </c>
      <c r="AE18" s="350"/>
      <c r="AF18" s="1087" t="s">
        <v>2297</v>
      </c>
      <c r="AG18" s="1087" t="s">
        <v>2412</v>
      </c>
      <c r="AH18" s="1087" t="s">
        <v>2447</v>
      </c>
      <c r="AI18" s="677" t="s">
        <v>2564</v>
      </c>
    </row>
    <row r="19" spans="1:35" ht="162.6" customHeight="1" thickBot="1" x14ac:dyDescent="0.45">
      <c r="A19" s="344"/>
      <c r="B19" s="1229" t="s">
        <v>378</v>
      </c>
      <c r="C19" s="1230" t="s">
        <v>379</v>
      </c>
      <c r="D19" s="689" t="s">
        <v>357</v>
      </c>
      <c r="E19" s="352">
        <v>0.25</v>
      </c>
      <c r="F19" s="353">
        <v>40000</v>
      </c>
      <c r="G19" s="375">
        <v>10000</v>
      </c>
      <c r="H19" s="376">
        <v>10000</v>
      </c>
      <c r="I19" s="362">
        <f>+G19/F19</f>
        <v>0.25</v>
      </c>
      <c r="J19" s="362">
        <f t="shared" si="5"/>
        <v>0.25</v>
      </c>
      <c r="K19" s="363">
        <f>+(G19/F19)*E19</f>
        <v>6.25E-2</v>
      </c>
      <c r="L19" s="363">
        <f t="shared" si="7"/>
        <v>6.25E-2</v>
      </c>
      <c r="M19" s="377">
        <v>11786</v>
      </c>
      <c r="N19" s="1022">
        <v>6000</v>
      </c>
      <c r="O19" s="1022">
        <v>1400</v>
      </c>
      <c r="P19" s="1022">
        <v>2125</v>
      </c>
      <c r="Q19" s="1143">
        <v>500</v>
      </c>
      <c r="R19" s="1143">
        <v>0</v>
      </c>
      <c r="S19" s="1142">
        <f>+N19+O19+P19+Q19+R19</f>
        <v>10025</v>
      </c>
      <c r="T19" s="377">
        <f>+S19+M19</f>
        <v>21811</v>
      </c>
      <c r="U19" s="360">
        <v>1</v>
      </c>
      <c r="V19" s="361">
        <v>1</v>
      </c>
      <c r="W19" s="361">
        <f>+U19*E19</f>
        <v>0.25</v>
      </c>
      <c r="X19" s="361">
        <f>+V19*E19</f>
        <v>0.25</v>
      </c>
      <c r="Y19" s="361">
        <f>+M19/F19</f>
        <v>0.29465000000000002</v>
      </c>
      <c r="Z19" s="361">
        <f>+T19/F19</f>
        <v>0.54527499999999995</v>
      </c>
      <c r="AA19" s="361">
        <f>+Y19*E19</f>
        <v>7.3662500000000006E-2</v>
      </c>
      <c r="AB19" s="361">
        <f>+Z19*E19</f>
        <v>0.13631874999999999</v>
      </c>
      <c r="AC19" s="648" t="s">
        <v>1850</v>
      </c>
      <c r="AD19" s="650" t="s">
        <v>1902</v>
      </c>
      <c r="AE19" s="350"/>
      <c r="AF19" s="1087" t="s">
        <v>2297</v>
      </c>
      <c r="AG19" s="1087" t="s">
        <v>2412</v>
      </c>
      <c r="AH19" s="1087" t="s">
        <v>2447</v>
      </c>
      <c r="AI19" s="677" t="s">
        <v>2564</v>
      </c>
    </row>
    <row r="20" spans="1:35" ht="122.4" customHeight="1" thickBot="1" x14ac:dyDescent="0.45">
      <c r="A20" s="344"/>
      <c r="B20" s="1229" t="s">
        <v>380</v>
      </c>
      <c r="C20" s="1230" t="s">
        <v>381</v>
      </c>
      <c r="D20" s="689" t="s">
        <v>357</v>
      </c>
      <c r="E20" s="352">
        <v>0.05</v>
      </c>
      <c r="F20" s="353">
        <v>45</v>
      </c>
      <c r="G20" s="372">
        <v>10</v>
      </c>
      <c r="H20" s="373">
        <v>15</v>
      </c>
      <c r="I20" s="362">
        <f>+G20/F20</f>
        <v>0.22222222222222221</v>
      </c>
      <c r="J20" s="362">
        <f t="shared" si="5"/>
        <v>0.33333333333333331</v>
      </c>
      <c r="K20" s="363">
        <f>+(G20/F20)*E20</f>
        <v>1.1111111111111112E-2</v>
      </c>
      <c r="L20" s="363">
        <f t="shared" si="7"/>
        <v>1.6666666666666666E-2</v>
      </c>
      <c r="M20" s="378">
        <v>10</v>
      </c>
      <c r="N20" s="651">
        <v>0</v>
      </c>
      <c r="O20" s="359">
        <v>0</v>
      </c>
      <c r="P20" s="359">
        <v>10</v>
      </c>
      <c r="Q20" s="359">
        <v>4</v>
      </c>
      <c r="R20" s="359">
        <v>1</v>
      </c>
      <c r="S20" s="651">
        <f>+P20+Q20+R20+N20+O20</f>
        <v>15</v>
      </c>
      <c r="T20" s="378">
        <f>+S20+M20</f>
        <v>25</v>
      </c>
      <c r="U20" s="360">
        <v>1</v>
      </c>
      <c r="V20" s="361">
        <f>+S20/H20</f>
        <v>1</v>
      </c>
      <c r="W20" s="361">
        <f>+U20*E20</f>
        <v>0.05</v>
      </c>
      <c r="X20" s="361">
        <f>+V20*E20</f>
        <v>0.05</v>
      </c>
      <c r="Y20" s="361">
        <f>+M20/F20</f>
        <v>0.22222222222222221</v>
      </c>
      <c r="Z20" s="361">
        <f>+T20/F20</f>
        <v>0.55555555555555558</v>
      </c>
      <c r="AA20" s="361">
        <f>+Y20*E20</f>
        <v>1.1111111111111112E-2</v>
      </c>
      <c r="AB20" s="361">
        <f>+Z20*E20</f>
        <v>2.777777777777778E-2</v>
      </c>
      <c r="AC20" s="648" t="s">
        <v>1850</v>
      </c>
      <c r="AD20" s="650" t="s">
        <v>1902</v>
      </c>
      <c r="AE20" s="350"/>
      <c r="AF20" s="1087" t="s">
        <v>2297</v>
      </c>
      <c r="AG20" s="1087" t="s">
        <v>2412</v>
      </c>
      <c r="AH20" s="1087" t="s">
        <v>2447</v>
      </c>
      <c r="AI20" s="677" t="s">
        <v>2564</v>
      </c>
    </row>
    <row r="21" spans="1:35" ht="122.4" customHeight="1" thickBot="1" x14ac:dyDescent="0.55000000000000004">
      <c r="A21" s="344"/>
      <c r="B21" s="1306" t="s">
        <v>1643</v>
      </c>
      <c r="C21" s="1307"/>
      <c r="D21" s="690"/>
      <c r="E21" s="349">
        <v>0.1</v>
      </c>
      <c r="F21" s="353"/>
      <c r="G21" s="368"/>
      <c r="H21" s="350"/>
      <c r="I21" s="369">
        <f>+AVERAGE(I22:I28)</f>
        <v>0.28974632671496775</v>
      </c>
      <c r="J21" s="369">
        <f>+AVERAGE(J22:J28)</f>
        <v>0.22570672713529855</v>
      </c>
      <c r="K21" s="370">
        <f>+K22+K23+K24+K25+K26+K27+K28</f>
        <v>0.28333533359143115</v>
      </c>
      <c r="L21" s="370">
        <f>+L22+L23+L24+L25+L26+L27+L28</f>
        <v>0.22066402116402117</v>
      </c>
      <c r="M21" s="358"/>
      <c r="N21" s="371"/>
      <c r="O21" s="371"/>
      <c r="P21" s="371"/>
      <c r="Q21" s="371"/>
      <c r="R21" s="371"/>
      <c r="S21" s="371"/>
      <c r="T21" s="371"/>
      <c r="U21" s="579">
        <f>+AVERAGE(U22:U28)</f>
        <v>0.8571428571428571</v>
      </c>
      <c r="V21" s="579">
        <f>+AVERAGE(V22:V28)</f>
        <v>0.75412917795844614</v>
      </c>
      <c r="W21" s="392">
        <f>+(W22+W23+W24+W25+W26+W27+W28)*E21</f>
        <v>7.5000000000000011E-2</v>
      </c>
      <c r="X21" s="392">
        <f>+(X22+X23+X24+X25+X26+X27+X28)*E21</f>
        <v>7.7960862691960259E-2</v>
      </c>
      <c r="Y21" s="351">
        <f>+AVERAGE(Y22:Y28)</f>
        <v>0.38444241653300881</v>
      </c>
      <c r="Z21" s="351">
        <f>+AVERAGE(Z22:Z28)</f>
        <v>0.54770158822336523</v>
      </c>
      <c r="AA21" s="351">
        <f>+(AA22+AA23+AA24+AA25+AA26+AA27+AA28)*E21</f>
        <v>3.9090985933668859E-2</v>
      </c>
      <c r="AB21" s="351">
        <f>+(AB22+AB23+AB24+AB25+AB26+AB27+AB28)</f>
        <v>0.56458837430636211</v>
      </c>
      <c r="AC21" s="764"/>
      <c r="AD21" s="350"/>
      <c r="AE21" s="350"/>
      <c r="AF21" s="350"/>
      <c r="AG21" s="350"/>
      <c r="AH21" s="1088"/>
      <c r="AI21" s="1085"/>
    </row>
    <row r="22" spans="1:35" ht="122.4" customHeight="1" thickBot="1" x14ac:dyDescent="0.45">
      <c r="A22" s="344"/>
      <c r="B22" s="1229" t="s">
        <v>382</v>
      </c>
      <c r="C22" s="1230" t="s">
        <v>383</v>
      </c>
      <c r="D22" s="548" t="s">
        <v>357</v>
      </c>
      <c r="E22" s="352">
        <v>0.1</v>
      </c>
      <c r="F22" s="353">
        <v>72</v>
      </c>
      <c r="G22" s="372">
        <v>48</v>
      </c>
      <c r="H22" s="373">
        <v>8</v>
      </c>
      <c r="I22" s="362">
        <f t="shared" ref="I22:I28" si="8">+G22/F22</f>
        <v>0.66666666666666663</v>
      </c>
      <c r="J22" s="362">
        <f t="shared" si="5"/>
        <v>0.1111111111111111</v>
      </c>
      <c r="K22" s="363">
        <f t="shared" ref="K22:K28" si="9">+(G22/F22)*E22</f>
        <v>6.6666666666666666E-2</v>
      </c>
      <c r="L22" s="363">
        <f t="shared" si="7"/>
        <v>1.1111111111111112E-2</v>
      </c>
      <c r="M22" s="358">
        <v>48</v>
      </c>
      <c r="N22" s="651">
        <v>0</v>
      </c>
      <c r="O22" s="359">
        <v>8</v>
      </c>
      <c r="P22" s="359">
        <v>0</v>
      </c>
      <c r="Q22" s="359">
        <v>0</v>
      </c>
      <c r="R22" s="359">
        <v>0</v>
      </c>
      <c r="S22" s="721">
        <f>+N22+O22+P22+Q22+R22</f>
        <v>8</v>
      </c>
      <c r="T22" s="358">
        <f t="shared" ref="T22:T28" si="10">+S22+M22</f>
        <v>56</v>
      </c>
      <c r="U22" s="360">
        <v>1</v>
      </c>
      <c r="V22" s="361">
        <f>+S22/H22</f>
        <v>1</v>
      </c>
      <c r="W22" s="361">
        <f t="shared" ref="W22:W28" si="11">+U22*E22</f>
        <v>0.1</v>
      </c>
      <c r="X22" s="361">
        <f t="shared" ref="X22:X28" si="12">+V22*E22</f>
        <v>0.1</v>
      </c>
      <c r="Y22" s="361">
        <f t="shared" ref="Y22:Y28" si="13">+M22/F22</f>
        <v>0.66666666666666663</v>
      </c>
      <c r="Z22" s="361">
        <f t="shared" ref="Z22:Z28" si="14">+T22/F22</f>
        <v>0.77777777777777779</v>
      </c>
      <c r="AA22" s="361">
        <f t="shared" ref="AA22:AA28" si="15">+Y22*E22</f>
        <v>6.6666666666666666E-2</v>
      </c>
      <c r="AB22" s="361">
        <f t="shared" ref="AB22:AB28" si="16">+Z22*E22</f>
        <v>7.7777777777777779E-2</v>
      </c>
      <c r="AC22" s="648" t="s">
        <v>1850</v>
      </c>
      <c r="AD22" s="677" t="s">
        <v>1902</v>
      </c>
      <c r="AE22" s="350"/>
      <c r="AF22" s="1087" t="s">
        <v>2297</v>
      </c>
      <c r="AG22" s="1087" t="s">
        <v>2412</v>
      </c>
      <c r="AH22" s="1087" t="s">
        <v>2447</v>
      </c>
      <c r="AI22" s="677" t="s">
        <v>2564</v>
      </c>
    </row>
    <row r="23" spans="1:35" ht="122.4" customHeight="1" thickBot="1" x14ac:dyDescent="0.45">
      <c r="A23" s="344"/>
      <c r="B23" s="1229" t="s">
        <v>384</v>
      </c>
      <c r="C23" s="1230" t="s">
        <v>385</v>
      </c>
      <c r="D23" s="548" t="s">
        <v>357</v>
      </c>
      <c r="E23" s="352">
        <v>0.15</v>
      </c>
      <c r="F23" s="353">
        <v>4</v>
      </c>
      <c r="G23" s="372">
        <v>2</v>
      </c>
      <c r="H23" s="373">
        <v>1</v>
      </c>
      <c r="I23" s="362">
        <f t="shared" si="8"/>
        <v>0.5</v>
      </c>
      <c r="J23" s="362">
        <f t="shared" si="5"/>
        <v>0.25</v>
      </c>
      <c r="K23" s="363">
        <f t="shared" si="9"/>
        <v>7.4999999999999997E-2</v>
      </c>
      <c r="L23" s="363">
        <f t="shared" si="7"/>
        <v>3.7499999999999999E-2</v>
      </c>
      <c r="M23" s="358">
        <v>3</v>
      </c>
      <c r="N23" s="651">
        <v>0</v>
      </c>
      <c r="O23" s="359">
        <v>0</v>
      </c>
      <c r="P23" s="359">
        <v>1</v>
      </c>
      <c r="Q23" s="359">
        <v>0</v>
      </c>
      <c r="R23" s="359">
        <v>0</v>
      </c>
      <c r="S23" s="721">
        <f t="shared" ref="S23:S28" si="17">+N23+O23+P23+Q23+R23</f>
        <v>1</v>
      </c>
      <c r="T23" s="358">
        <f t="shared" si="10"/>
        <v>4</v>
      </c>
      <c r="U23" s="360">
        <v>1</v>
      </c>
      <c r="V23" s="361">
        <f>+S23/H23</f>
        <v>1</v>
      </c>
      <c r="W23" s="361">
        <f t="shared" si="11"/>
        <v>0.15</v>
      </c>
      <c r="X23" s="361">
        <f t="shared" si="12"/>
        <v>0.15</v>
      </c>
      <c r="Y23" s="361">
        <f t="shared" si="13"/>
        <v>0.75</v>
      </c>
      <c r="Z23" s="361">
        <f t="shared" si="14"/>
        <v>1</v>
      </c>
      <c r="AA23" s="361">
        <f t="shared" si="15"/>
        <v>0.11249999999999999</v>
      </c>
      <c r="AB23" s="361">
        <f t="shared" si="16"/>
        <v>0.15</v>
      </c>
      <c r="AC23" s="648" t="s">
        <v>1850</v>
      </c>
      <c r="AD23" s="649" t="s">
        <v>1910</v>
      </c>
      <c r="AE23" s="350"/>
      <c r="AF23" s="1087" t="s">
        <v>2297</v>
      </c>
      <c r="AG23" s="1087" t="s">
        <v>2412</v>
      </c>
      <c r="AH23" s="1087" t="s">
        <v>2447</v>
      </c>
      <c r="AI23" s="677" t="s">
        <v>2564</v>
      </c>
    </row>
    <row r="24" spans="1:35" ht="122.4" customHeight="1" thickBot="1" x14ac:dyDescent="0.45">
      <c r="A24" s="344"/>
      <c r="B24" s="1264" t="s">
        <v>386</v>
      </c>
      <c r="C24" s="1265" t="s">
        <v>387</v>
      </c>
      <c r="D24" s="691" t="s">
        <v>357</v>
      </c>
      <c r="E24" s="352">
        <v>0.2</v>
      </c>
      <c r="F24" s="353">
        <v>27</v>
      </c>
      <c r="G24" s="372">
        <v>2</v>
      </c>
      <c r="H24" s="373">
        <v>2</v>
      </c>
      <c r="I24" s="362">
        <f t="shared" si="8"/>
        <v>7.407407407407407E-2</v>
      </c>
      <c r="J24" s="362">
        <f t="shared" si="5"/>
        <v>7.407407407407407E-2</v>
      </c>
      <c r="K24" s="363">
        <f t="shared" si="9"/>
        <v>1.4814814814814815E-2</v>
      </c>
      <c r="L24" s="363">
        <f t="shared" si="7"/>
        <v>1.4814814814814815E-2</v>
      </c>
      <c r="M24" s="358">
        <v>20</v>
      </c>
      <c r="N24" s="651">
        <v>5</v>
      </c>
      <c r="O24" s="359">
        <v>0</v>
      </c>
      <c r="P24" s="359">
        <v>0</v>
      </c>
      <c r="Q24" s="359">
        <v>0</v>
      </c>
      <c r="R24" s="359">
        <v>0</v>
      </c>
      <c r="S24" s="721">
        <f t="shared" si="17"/>
        <v>5</v>
      </c>
      <c r="T24" s="358">
        <f t="shared" si="10"/>
        <v>25</v>
      </c>
      <c r="U24" s="360">
        <v>1</v>
      </c>
      <c r="V24" s="361">
        <v>1</v>
      </c>
      <c r="W24" s="361">
        <f t="shared" si="11"/>
        <v>0.2</v>
      </c>
      <c r="X24" s="361">
        <f t="shared" si="12"/>
        <v>0.2</v>
      </c>
      <c r="Y24" s="361">
        <f t="shared" si="13"/>
        <v>0.7407407407407407</v>
      </c>
      <c r="Z24" s="361">
        <f t="shared" si="14"/>
        <v>0.92592592592592593</v>
      </c>
      <c r="AA24" s="361">
        <f t="shared" si="15"/>
        <v>0.14814814814814814</v>
      </c>
      <c r="AB24" s="361">
        <f t="shared" si="16"/>
        <v>0.1851851851851852</v>
      </c>
      <c r="AC24" s="648" t="s">
        <v>1850</v>
      </c>
      <c r="AD24" s="650" t="s">
        <v>1902</v>
      </c>
      <c r="AE24" s="350"/>
      <c r="AF24" s="1087" t="s">
        <v>2297</v>
      </c>
      <c r="AG24" s="1087" t="s">
        <v>2412</v>
      </c>
      <c r="AH24" s="1087" t="s">
        <v>2447</v>
      </c>
      <c r="AI24" s="677" t="s">
        <v>2564</v>
      </c>
    </row>
    <row r="25" spans="1:35" ht="145.19999999999999" customHeight="1" thickBot="1" x14ac:dyDescent="0.45">
      <c r="A25" s="344"/>
      <c r="B25" s="1268" t="s">
        <v>388</v>
      </c>
      <c r="C25" s="1269" t="s">
        <v>389</v>
      </c>
      <c r="D25" s="548" t="s">
        <v>357</v>
      </c>
      <c r="E25" s="352">
        <v>0.25</v>
      </c>
      <c r="F25" s="353">
        <v>4000</v>
      </c>
      <c r="G25" s="372">
        <v>1000</v>
      </c>
      <c r="H25" s="373">
        <v>1000</v>
      </c>
      <c r="I25" s="362">
        <f t="shared" si="8"/>
        <v>0.25</v>
      </c>
      <c r="J25" s="362">
        <f t="shared" si="5"/>
        <v>0.25</v>
      </c>
      <c r="K25" s="363">
        <f t="shared" si="9"/>
        <v>6.25E-2</v>
      </c>
      <c r="L25" s="363">
        <f t="shared" si="7"/>
        <v>6.25E-2</v>
      </c>
      <c r="M25" s="358">
        <v>0</v>
      </c>
      <c r="N25" s="651">
        <v>481</v>
      </c>
      <c r="O25" s="359">
        <v>171</v>
      </c>
      <c r="P25" s="359">
        <v>169</v>
      </c>
      <c r="Q25" s="359">
        <v>0</v>
      </c>
      <c r="R25" s="359">
        <v>0</v>
      </c>
      <c r="S25" s="721">
        <f t="shared" si="17"/>
        <v>821</v>
      </c>
      <c r="T25" s="358">
        <f t="shared" si="10"/>
        <v>821</v>
      </c>
      <c r="U25" s="360">
        <f>+(M25/G25)</f>
        <v>0</v>
      </c>
      <c r="V25" s="361">
        <f>+S25/H25</f>
        <v>0.82099999999999995</v>
      </c>
      <c r="W25" s="361">
        <f t="shared" si="11"/>
        <v>0</v>
      </c>
      <c r="X25" s="361">
        <f t="shared" si="12"/>
        <v>0.20524999999999999</v>
      </c>
      <c r="Y25" s="361">
        <f t="shared" si="13"/>
        <v>0</v>
      </c>
      <c r="Z25" s="361">
        <f>+T25/F25</f>
        <v>0.20524999999999999</v>
      </c>
      <c r="AA25" s="361">
        <f t="shared" si="15"/>
        <v>0</v>
      </c>
      <c r="AB25" s="361">
        <f t="shared" si="16"/>
        <v>5.1312499999999997E-2</v>
      </c>
      <c r="AC25" s="648" t="s">
        <v>1850</v>
      </c>
      <c r="AD25" s="650" t="s">
        <v>1902</v>
      </c>
      <c r="AE25" s="650" t="s">
        <v>2272</v>
      </c>
      <c r="AF25" s="649" t="s">
        <v>2306</v>
      </c>
      <c r="AG25" s="1087" t="s">
        <v>2412</v>
      </c>
      <c r="AH25" s="1087" t="s">
        <v>2447</v>
      </c>
      <c r="AI25" s="649" t="s">
        <v>1977</v>
      </c>
    </row>
    <row r="26" spans="1:35" ht="160.19999999999999" customHeight="1" thickBot="1" x14ac:dyDescent="0.45">
      <c r="A26" s="344"/>
      <c r="B26" s="1249" t="s">
        <v>390</v>
      </c>
      <c r="C26" s="1250" t="s">
        <v>391</v>
      </c>
      <c r="D26" s="548" t="s">
        <v>357</v>
      </c>
      <c r="E26" s="352">
        <v>0.2</v>
      </c>
      <c r="F26" s="353">
        <v>3690</v>
      </c>
      <c r="G26" s="372">
        <v>922</v>
      </c>
      <c r="H26" s="373">
        <v>1230</v>
      </c>
      <c r="I26" s="362">
        <f t="shared" si="8"/>
        <v>0.24986449864498644</v>
      </c>
      <c r="J26" s="362">
        <f t="shared" si="5"/>
        <v>0.33333333333333331</v>
      </c>
      <c r="K26" s="363">
        <f t="shared" si="9"/>
        <v>4.9972899728997294E-2</v>
      </c>
      <c r="L26" s="363">
        <f t="shared" si="7"/>
        <v>6.6666666666666666E-2</v>
      </c>
      <c r="M26" s="358">
        <v>908</v>
      </c>
      <c r="N26" s="651">
        <v>50</v>
      </c>
      <c r="O26" s="359">
        <v>372</v>
      </c>
      <c r="P26" s="359">
        <v>0</v>
      </c>
      <c r="Q26" s="359">
        <v>0</v>
      </c>
      <c r="R26" s="359">
        <v>0</v>
      </c>
      <c r="S26" s="721">
        <f t="shared" si="17"/>
        <v>422</v>
      </c>
      <c r="T26" s="358">
        <f t="shared" si="10"/>
        <v>1330</v>
      </c>
      <c r="U26" s="360">
        <v>1</v>
      </c>
      <c r="V26" s="361">
        <f t="shared" ref="V26:V27" si="18">+S26/H26</f>
        <v>0.34308943089430893</v>
      </c>
      <c r="W26" s="361">
        <f t="shared" si="11"/>
        <v>0.2</v>
      </c>
      <c r="X26" s="361">
        <f t="shared" si="12"/>
        <v>6.8617886178861789E-2</v>
      </c>
      <c r="Y26" s="361">
        <f t="shared" si="13"/>
        <v>0.24607046070460706</v>
      </c>
      <c r="Z26" s="361">
        <f t="shared" si="14"/>
        <v>0.36043360433604338</v>
      </c>
      <c r="AA26" s="361">
        <f t="shared" si="15"/>
        <v>4.9214092140921414E-2</v>
      </c>
      <c r="AB26" s="361">
        <f t="shared" si="16"/>
        <v>7.2086720867208673E-2</v>
      </c>
      <c r="AC26" s="648" t="s">
        <v>1850</v>
      </c>
      <c r="AD26" s="650" t="s">
        <v>1902</v>
      </c>
      <c r="AE26" s="650" t="s">
        <v>2272</v>
      </c>
      <c r="AF26" s="649" t="s">
        <v>2307</v>
      </c>
      <c r="AG26" s="1087" t="s">
        <v>2412</v>
      </c>
      <c r="AH26" s="1087" t="s">
        <v>2447</v>
      </c>
      <c r="AI26" s="649" t="s">
        <v>1977</v>
      </c>
    </row>
    <row r="27" spans="1:35" ht="122.4" customHeight="1" thickBot="1" x14ac:dyDescent="0.45">
      <c r="A27" s="344"/>
      <c r="B27" s="1266" t="s">
        <v>392</v>
      </c>
      <c r="C27" s="1267" t="s">
        <v>393</v>
      </c>
      <c r="D27" s="691" t="s">
        <v>357</v>
      </c>
      <c r="E27" s="352">
        <v>0.05</v>
      </c>
      <c r="F27" s="353">
        <v>8400</v>
      </c>
      <c r="G27" s="372">
        <v>400</v>
      </c>
      <c r="H27" s="373">
        <v>2700</v>
      </c>
      <c r="I27" s="362">
        <f t="shared" si="8"/>
        <v>4.7619047619047616E-2</v>
      </c>
      <c r="J27" s="362">
        <f t="shared" si="5"/>
        <v>0.32142857142857145</v>
      </c>
      <c r="K27" s="363">
        <f t="shared" si="9"/>
        <v>2.3809523809523812E-3</v>
      </c>
      <c r="L27" s="363">
        <f t="shared" si="7"/>
        <v>1.6071428571428573E-2</v>
      </c>
      <c r="M27" s="358">
        <v>400</v>
      </c>
      <c r="N27" s="651">
        <v>0</v>
      </c>
      <c r="O27" s="359">
        <v>255</v>
      </c>
      <c r="P27" s="359">
        <v>55</v>
      </c>
      <c r="Q27" s="359">
        <v>0</v>
      </c>
      <c r="R27" s="359"/>
      <c r="S27" s="721">
        <f t="shared" si="17"/>
        <v>310</v>
      </c>
      <c r="T27" s="358">
        <f t="shared" si="10"/>
        <v>710</v>
      </c>
      <c r="U27" s="360">
        <v>1</v>
      </c>
      <c r="V27" s="361">
        <f t="shared" si="18"/>
        <v>0.11481481481481481</v>
      </c>
      <c r="W27" s="361">
        <f t="shared" si="11"/>
        <v>0.05</v>
      </c>
      <c r="X27" s="361">
        <f t="shared" si="12"/>
        <v>5.7407407407407407E-3</v>
      </c>
      <c r="Y27" s="361">
        <f t="shared" si="13"/>
        <v>4.7619047619047616E-2</v>
      </c>
      <c r="Z27" s="361">
        <f t="shared" si="14"/>
        <v>8.4523809523809529E-2</v>
      </c>
      <c r="AA27" s="361">
        <f t="shared" si="15"/>
        <v>2.3809523809523812E-3</v>
      </c>
      <c r="AB27" s="361">
        <f t="shared" si="16"/>
        <v>4.2261904761904763E-3</v>
      </c>
      <c r="AC27" s="648" t="s">
        <v>1850</v>
      </c>
      <c r="AD27" s="650" t="s">
        <v>1902</v>
      </c>
      <c r="AE27" s="650" t="s">
        <v>2272</v>
      </c>
      <c r="AF27" s="1087" t="s">
        <v>2297</v>
      </c>
      <c r="AG27" s="1087" t="s">
        <v>2412</v>
      </c>
      <c r="AH27" s="1087" t="s">
        <v>2447</v>
      </c>
      <c r="AI27" s="677" t="s">
        <v>2564</v>
      </c>
    </row>
    <row r="28" spans="1:35" ht="122.4" customHeight="1" thickBot="1" x14ac:dyDescent="0.45">
      <c r="A28" s="344"/>
      <c r="B28" s="1232" t="s">
        <v>394</v>
      </c>
      <c r="C28" s="1233" t="s">
        <v>395</v>
      </c>
      <c r="D28" s="548" t="s">
        <v>357</v>
      </c>
      <c r="E28" s="352">
        <v>0.05</v>
      </c>
      <c r="F28" s="353">
        <v>50</v>
      </c>
      <c r="G28" s="372">
        <v>12</v>
      </c>
      <c r="H28" s="373">
        <v>12</v>
      </c>
      <c r="I28" s="362">
        <f t="shared" si="8"/>
        <v>0.24</v>
      </c>
      <c r="J28" s="362">
        <f t="shared" si="5"/>
        <v>0.24</v>
      </c>
      <c r="K28" s="363">
        <f t="shared" si="9"/>
        <v>1.2E-2</v>
      </c>
      <c r="L28" s="363">
        <f t="shared" si="7"/>
        <v>1.2E-2</v>
      </c>
      <c r="M28" s="358">
        <v>12</v>
      </c>
      <c r="N28" s="651">
        <v>0</v>
      </c>
      <c r="O28" s="359">
        <v>12</v>
      </c>
      <c r="P28" s="359">
        <v>0</v>
      </c>
      <c r="Q28" s="359">
        <v>0</v>
      </c>
      <c r="R28" s="1177"/>
      <c r="S28" s="721">
        <f t="shared" si="17"/>
        <v>12</v>
      </c>
      <c r="T28" s="358">
        <f t="shared" si="10"/>
        <v>24</v>
      </c>
      <c r="U28" s="360">
        <v>1</v>
      </c>
      <c r="V28" s="361">
        <f>+S28/H28</f>
        <v>1</v>
      </c>
      <c r="W28" s="361">
        <f t="shared" si="11"/>
        <v>0.05</v>
      </c>
      <c r="X28" s="361">
        <f t="shared" si="12"/>
        <v>0.05</v>
      </c>
      <c r="Y28" s="361">
        <f t="shared" si="13"/>
        <v>0.24</v>
      </c>
      <c r="Z28" s="361">
        <f t="shared" si="14"/>
        <v>0.48</v>
      </c>
      <c r="AA28" s="361">
        <f t="shared" si="15"/>
        <v>1.2E-2</v>
      </c>
      <c r="AB28" s="361">
        <f t="shared" si="16"/>
        <v>2.4E-2</v>
      </c>
      <c r="AC28" s="648" t="s">
        <v>1850</v>
      </c>
      <c r="AD28" s="650" t="s">
        <v>1902</v>
      </c>
      <c r="AE28" s="350"/>
      <c r="AF28" s="1087" t="s">
        <v>2297</v>
      </c>
      <c r="AG28" s="1087" t="s">
        <v>2412</v>
      </c>
      <c r="AH28" s="1087" t="s">
        <v>2447</v>
      </c>
      <c r="AI28" s="677" t="s">
        <v>2564</v>
      </c>
    </row>
    <row r="29" spans="1:35" ht="122.4" customHeight="1" thickBot="1" x14ac:dyDescent="0.55000000000000004">
      <c r="A29" s="344"/>
      <c r="B29" s="1306" t="s">
        <v>1644</v>
      </c>
      <c r="C29" s="1307"/>
      <c r="D29" s="686"/>
      <c r="E29" s="349">
        <v>0.05</v>
      </c>
      <c r="F29" s="367"/>
      <c r="G29" s="368"/>
      <c r="H29" s="350"/>
      <c r="I29" s="369">
        <f>+AVERAGE(I30:I33)</f>
        <v>0.15707666719467767</v>
      </c>
      <c r="J29" s="369">
        <f>+AVERAGE(J30:J33)</f>
        <v>0.26624623792174879</v>
      </c>
      <c r="K29" s="370">
        <f>+K30+K31+K32+K33</f>
        <v>0.14557658799303025</v>
      </c>
      <c r="L29" s="370">
        <f>+L30+L31+L32+L33</f>
        <v>0.263632583557738</v>
      </c>
      <c r="M29" s="358"/>
      <c r="N29" s="371"/>
      <c r="O29" s="371"/>
      <c r="P29" s="371"/>
      <c r="Q29" s="371"/>
      <c r="R29" s="1178"/>
      <c r="S29" s="371"/>
      <c r="T29" s="371"/>
      <c r="U29" s="579">
        <f>+AVERAGE(U30:U33)</f>
        <v>0.98</v>
      </c>
      <c r="V29" s="579">
        <f>+AVERAGE(V30:V33)</f>
        <v>1</v>
      </c>
      <c r="W29" s="392">
        <f>+(W30+W31+W32+W33)*E29</f>
        <v>4.9200000000000008E-2</v>
      </c>
      <c r="X29" s="392">
        <f>+(X30+X31+X32+X33)*E29</f>
        <v>0.05</v>
      </c>
      <c r="Y29" s="351">
        <f>+AVERAGE(Y30:Y33)</f>
        <v>0.28525463329637252</v>
      </c>
      <c r="Z29" s="351">
        <f>+AVERAGE(Z30:Z33)</f>
        <v>0.78257167749089174</v>
      </c>
      <c r="AA29" s="351">
        <f>+(AA30+AA31+AA32+AA33)*E29</f>
        <v>1.4958914145414224E-2</v>
      </c>
      <c r="AB29" s="351">
        <f>+(AB30+AB31+AB32+AB33)</f>
        <v>0.80359971487406945</v>
      </c>
      <c r="AC29" s="764"/>
      <c r="AD29" s="350"/>
      <c r="AE29" s="350"/>
      <c r="AF29" s="350"/>
      <c r="AG29" s="350"/>
      <c r="AH29" s="1088"/>
      <c r="AI29" s="1085"/>
    </row>
    <row r="30" spans="1:35" ht="160.19999999999999" customHeight="1" thickBot="1" x14ac:dyDescent="0.45">
      <c r="A30" s="344"/>
      <c r="B30" s="1229" t="s">
        <v>396</v>
      </c>
      <c r="C30" s="1230" t="s">
        <v>397</v>
      </c>
      <c r="D30" s="692" t="s">
        <v>357</v>
      </c>
      <c r="E30" s="379">
        <v>0.25</v>
      </c>
      <c r="F30" s="353">
        <v>236</v>
      </c>
      <c r="G30" s="372">
        <v>10</v>
      </c>
      <c r="H30" s="373">
        <v>59</v>
      </c>
      <c r="I30" s="362">
        <f>+G30/F30</f>
        <v>4.2372881355932202E-2</v>
      </c>
      <c r="J30" s="362">
        <f t="shared" si="5"/>
        <v>0.25</v>
      </c>
      <c r="K30" s="363">
        <f>+(G30/F30)*E30</f>
        <v>1.059322033898305E-2</v>
      </c>
      <c r="L30" s="363">
        <f t="shared" si="7"/>
        <v>6.25E-2</v>
      </c>
      <c r="M30" s="358">
        <v>71</v>
      </c>
      <c r="N30" s="651">
        <v>59</v>
      </c>
      <c r="O30" s="359">
        <v>0</v>
      </c>
      <c r="P30" s="359">
        <v>0</v>
      </c>
      <c r="Q30" s="359">
        <v>0</v>
      </c>
      <c r="R30" s="359">
        <v>0</v>
      </c>
      <c r="S30" s="721">
        <f>+N30+O30+P30+Q30+R30</f>
        <v>59</v>
      </c>
      <c r="T30" s="721">
        <f>+S30+M30</f>
        <v>130</v>
      </c>
      <c r="U30" s="360">
        <v>1</v>
      </c>
      <c r="V30" s="361">
        <f>+S30/H30</f>
        <v>1</v>
      </c>
      <c r="W30" s="361">
        <f>+U30*E30</f>
        <v>0.25</v>
      </c>
      <c r="X30" s="361">
        <f>+V30*E30</f>
        <v>0.25</v>
      </c>
      <c r="Y30" s="361">
        <f>+M30/F30</f>
        <v>0.30084745762711862</v>
      </c>
      <c r="Z30" s="361">
        <f>+T30/F30</f>
        <v>0.55084745762711862</v>
      </c>
      <c r="AA30" s="361">
        <f>+Y30*E30</f>
        <v>7.5211864406779655E-2</v>
      </c>
      <c r="AB30" s="361">
        <f>+Z30*E30</f>
        <v>0.13771186440677965</v>
      </c>
      <c r="AC30" s="648" t="s">
        <v>1850</v>
      </c>
      <c r="AD30" s="650" t="s">
        <v>1902</v>
      </c>
      <c r="AE30" s="650" t="s">
        <v>2272</v>
      </c>
      <c r="AF30" s="1087" t="s">
        <v>2297</v>
      </c>
      <c r="AG30" s="1087" t="s">
        <v>2412</v>
      </c>
      <c r="AH30" s="1087" t="s">
        <v>2447</v>
      </c>
      <c r="AI30" s="677" t="s">
        <v>2564</v>
      </c>
    </row>
    <row r="31" spans="1:35" ht="142.19999999999999" customHeight="1" thickBot="1" x14ac:dyDescent="0.45">
      <c r="A31" s="344"/>
      <c r="B31" s="1263" t="s">
        <v>398</v>
      </c>
      <c r="C31" s="1270" t="s">
        <v>399</v>
      </c>
      <c r="D31" s="692" t="s">
        <v>357</v>
      </c>
      <c r="E31" s="379">
        <v>0.35</v>
      </c>
      <c r="F31" s="353">
        <v>59</v>
      </c>
      <c r="G31" s="372">
        <v>7</v>
      </c>
      <c r="H31" s="373">
        <v>15</v>
      </c>
      <c r="I31" s="362">
        <f>+G31/F31</f>
        <v>0.11864406779661017</v>
      </c>
      <c r="J31" s="362">
        <f t="shared" si="5"/>
        <v>0.25423728813559321</v>
      </c>
      <c r="K31" s="363">
        <f>+(G31/F31)*E31</f>
        <v>4.1525423728813557E-2</v>
      </c>
      <c r="L31" s="363">
        <f t="shared" si="7"/>
        <v>8.8983050847457612E-2</v>
      </c>
      <c r="M31" s="358">
        <v>22</v>
      </c>
      <c r="N31" s="651">
        <v>0</v>
      </c>
      <c r="O31" s="359">
        <v>15</v>
      </c>
      <c r="P31" s="359">
        <v>8</v>
      </c>
      <c r="Q31" s="359">
        <v>0</v>
      </c>
      <c r="R31" s="359">
        <v>23</v>
      </c>
      <c r="S31" s="721">
        <f t="shared" ref="S31:S33" si="19">+N31+O31+P31+Q31+R31</f>
        <v>46</v>
      </c>
      <c r="T31" s="358">
        <f>+S31+M31</f>
        <v>68</v>
      </c>
      <c r="U31" s="360">
        <v>1</v>
      </c>
      <c r="V31" s="361">
        <v>1</v>
      </c>
      <c r="W31" s="361">
        <f>+U31*E31</f>
        <v>0.35</v>
      </c>
      <c r="X31" s="361">
        <f>+V31*E31</f>
        <v>0.35</v>
      </c>
      <c r="Y31" s="361">
        <f>+M31/F31</f>
        <v>0.3728813559322034</v>
      </c>
      <c r="Z31" s="361">
        <v>1</v>
      </c>
      <c r="AA31" s="361">
        <f>+Y31*E31</f>
        <v>0.13050847457627118</v>
      </c>
      <c r="AB31" s="361">
        <f>+Z31*E31</f>
        <v>0.35</v>
      </c>
      <c r="AC31" s="648" t="s">
        <v>1850</v>
      </c>
      <c r="AD31" s="650" t="s">
        <v>1902</v>
      </c>
      <c r="AE31" s="350"/>
      <c r="AF31" s="1087" t="s">
        <v>2297</v>
      </c>
      <c r="AG31" s="1087" t="s">
        <v>2412</v>
      </c>
      <c r="AH31" s="649" t="s">
        <v>1865</v>
      </c>
      <c r="AI31" s="649" t="s">
        <v>1865</v>
      </c>
    </row>
    <row r="32" spans="1:35" ht="122.4" customHeight="1" thickBot="1" x14ac:dyDescent="0.45">
      <c r="A32" s="344"/>
      <c r="B32" s="1229" t="s">
        <v>400</v>
      </c>
      <c r="C32" s="1230" t="s">
        <v>401</v>
      </c>
      <c r="D32" s="692" t="s">
        <v>357</v>
      </c>
      <c r="E32" s="379">
        <v>0.2</v>
      </c>
      <c r="F32" s="353">
        <v>107</v>
      </c>
      <c r="G32" s="372">
        <v>25</v>
      </c>
      <c r="H32" s="373">
        <v>30</v>
      </c>
      <c r="I32" s="362">
        <f>+G32/F32</f>
        <v>0.23364485981308411</v>
      </c>
      <c r="J32" s="362">
        <f t="shared" si="5"/>
        <v>0.28037383177570091</v>
      </c>
      <c r="K32" s="363">
        <f>+(G32/F32)*E32</f>
        <v>4.6728971962616828E-2</v>
      </c>
      <c r="L32" s="363">
        <f t="shared" si="7"/>
        <v>5.6074766355140186E-2</v>
      </c>
      <c r="M32" s="378">
        <v>27</v>
      </c>
      <c r="N32" s="651">
        <v>21</v>
      </c>
      <c r="O32" s="359">
        <v>30</v>
      </c>
      <c r="P32" s="359">
        <v>7</v>
      </c>
      <c r="Q32" s="359">
        <v>12</v>
      </c>
      <c r="R32" s="359">
        <v>0</v>
      </c>
      <c r="S32" s="721">
        <f t="shared" si="19"/>
        <v>70</v>
      </c>
      <c r="T32" s="378">
        <f>+S32+M32</f>
        <v>97</v>
      </c>
      <c r="U32" s="360">
        <v>1</v>
      </c>
      <c r="V32" s="361">
        <v>1</v>
      </c>
      <c r="W32" s="361">
        <f>+U32*E32</f>
        <v>0.2</v>
      </c>
      <c r="X32" s="361">
        <f>+V32*E32</f>
        <v>0.2</v>
      </c>
      <c r="Y32" s="361">
        <f>+M32/F32</f>
        <v>0.25233644859813081</v>
      </c>
      <c r="Z32" s="361">
        <f>+T32/F32</f>
        <v>0.90654205607476634</v>
      </c>
      <c r="AA32" s="361">
        <f>+Y32*E32</f>
        <v>5.0467289719626163E-2</v>
      </c>
      <c r="AB32" s="361">
        <f>+Z32*E32</f>
        <v>0.18130841121495328</v>
      </c>
      <c r="AC32" s="648" t="s">
        <v>1850</v>
      </c>
      <c r="AD32" s="650" t="s">
        <v>1902</v>
      </c>
      <c r="AE32" s="350"/>
      <c r="AF32" s="1087" t="s">
        <v>2297</v>
      </c>
      <c r="AG32" s="1087" t="s">
        <v>2412</v>
      </c>
      <c r="AH32" s="1087" t="s">
        <v>2447</v>
      </c>
      <c r="AI32" s="677" t="s">
        <v>2564</v>
      </c>
    </row>
    <row r="33" spans="1:35" ht="164.4" customHeight="1" thickBot="1" x14ac:dyDescent="0.45">
      <c r="A33" s="344"/>
      <c r="B33" s="1229" t="s">
        <v>402</v>
      </c>
      <c r="C33" s="1230" t="s">
        <v>403</v>
      </c>
      <c r="D33" s="692" t="s">
        <v>357</v>
      </c>
      <c r="E33" s="379">
        <v>0.2</v>
      </c>
      <c r="F33" s="353">
        <v>107</v>
      </c>
      <c r="G33" s="372">
        <v>25</v>
      </c>
      <c r="H33" s="373">
        <v>30</v>
      </c>
      <c r="I33" s="362">
        <f>+G33/F33</f>
        <v>0.23364485981308411</v>
      </c>
      <c r="J33" s="362">
        <f t="shared" si="5"/>
        <v>0.28037383177570091</v>
      </c>
      <c r="K33" s="363">
        <f>+(G33/F33)*E33</f>
        <v>4.6728971962616828E-2</v>
      </c>
      <c r="L33" s="363">
        <f t="shared" si="7"/>
        <v>5.6074766355140186E-2</v>
      </c>
      <c r="M33" s="378">
        <v>23</v>
      </c>
      <c r="N33" s="651">
        <v>0</v>
      </c>
      <c r="O33" s="359">
        <v>30</v>
      </c>
      <c r="P33" s="359">
        <v>7</v>
      </c>
      <c r="Q33" s="359">
        <v>12</v>
      </c>
      <c r="R33" s="359">
        <v>0</v>
      </c>
      <c r="S33" s="721">
        <f t="shared" si="19"/>
        <v>49</v>
      </c>
      <c r="T33" s="378">
        <f>+S33+M33</f>
        <v>72</v>
      </c>
      <c r="U33" s="360">
        <f>+M33/G33</f>
        <v>0.92</v>
      </c>
      <c r="V33" s="361">
        <v>1</v>
      </c>
      <c r="W33" s="361">
        <f>+U33*E33</f>
        <v>0.18400000000000002</v>
      </c>
      <c r="X33" s="361">
        <f>+V33*E33</f>
        <v>0.2</v>
      </c>
      <c r="Y33" s="361">
        <f>+M33/F33</f>
        <v>0.21495327102803738</v>
      </c>
      <c r="Z33" s="361">
        <f>+T33/F33</f>
        <v>0.67289719626168221</v>
      </c>
      <c r="AA33" s="361">
        <f>+Y33*E33</f>
        <v>4.2990654205607479E-2</v>
      </c>
      <c r="AB33" s="361">
        <f>+Z33*E33</f>
        <v>0.13457943925233645</v>
      </c>
      <c r="AC33" s="648" t="s">
        <v>1850</v>
      </c>
      <c r="AD33" s="650" t="s">
        <v>1902</v>
      </c>
      <c r="AE33" s="650" t="s">
        <v>2272</v>
      </c>
      <c r="AF33" s="1087" t="s">
        <v>2297</v>
      </c>
      <c r="AG33" s="1087" t="s">
        <v>2412</v>
      </c>
      <c r="AH33" s="1087" t="s">
        <v>2447</v>
      </c>
      <c r="AI33" s="677" t="s">
        <v>2564</v>
      </c>
    </row>
    <row r="34" spans="1:35" ht="122.4" customHeight="1" thickBot="1" x14ac:dyDescent="0.55000000000000004">
      <c r="A34" s="344"/>
      <c r="B34" s="1308" t="s">
        <v>1645</v>
      </c>
      <c r="C34" s="1309"/>
      <c r="D34" s="548"/>
      <c r="E34" s="349">
        <v>0.02</v>
      </c>
      <c r="F34" s="367"/>
      <c r="G34" s="368"/>
      <c r="H34" s="350"/>
      <c r="I34" s="369">
        <f>+AVERAGE(I35:I38)</f>
        <v>0.44396853146853149</v>
      </c>
      <c r="J34" s="369">
        <f>+AVERAGE(J35:J38)</f>
        <v>0.2717074592074592</v>
      </c>
      <c r="K34" s="370">
        <f>+K35+K36+K37+K38</f>
        <v>0.55517482517482519</v>
      </c>
      <c r="L34" s="370">
        <f>+L35+L36+L37+L38</f>
        <v>0.28403263403263401</v>
      </c>
      <c r="M34" s="358"/>
      <c r="N34" s="371"/>
      <c r="O34" s="371"/>
      <c r="P34" s="371"/>
      <c r="Q34" s="371"/>
      <c r="R34" s="1178"/>
      <c r="S34" s="371"/>
      <c r="T34" s="371"/>
      <c r="U34" s="579">
        <f>+AVERAGE(U35:U38)</f>
        <v>0.28083333333333332</v>
      </c>
      <c r="V34" s="579">
        <f>+AVERAGE(V35:V38)</f>
        <v>0.96666666666666667</v>
      </c>
      <c r="W34" s="392">
        <f>+(W35+W36+W37+W38)*E34</f>
        <v>5.8266666666666666E-3</v>
      </c>
      <c r="X34" s="392">
        <f>+(X35+X36+X37+X38)*E34</f>
        <v>1.9466666666666667E-2</v>
      </c>
      <c r="Y34" s="351">
        <f>+AVERAGE(Y35:Y38)</f>
        <v>0.14352564102564103</v>
      </c>
      <c r="Z34" s="351">
        <f>+AVERAGE(Z35:Z38)</f>
        <v>0.64242424242424245</v>
      </c>
      <c r="AA34" s="351">
        <f>+(AA35+AA36+AA37+AA38)*E34</f>
        <v>3.6297435897435898E-3</v>
      </c>
      <c r="AB34" s="351">
        <f>+(AB35+AB36+AB37+AB38)</f>
        <v>0.71393939393939398</v>
      </c>
      <c r="AC34" s="764"/>
      <c r="AD34" s="350"/>
      <c r="AE34" s="350"/>
      <c r="AF34" s="350"/>
      <c r="AG34" s="350"/>
      <c r="AH34" s="1088"/>
      <c r="AI34" s="1085"/>
    </row>
    <row r="35" spans="1:35" ht="248.4" customHeight="1" thickBot="1" x14ac:dyDescent="0.45">
      <c r="A35" s="344"/>
      <c r="B35" s="1229" t="s">
        <v>404</v>
      </c>
      <c r="C35" s="1230" t="s">
        <v>405</v>
      </c>
      <c r="D35" s="548" t="s">
        <v>357</v>
      </c>
      <c r="E35" s="352">
        <v>0.2</v>
      </c>
      <c r="F35" s="353">
        <v>13</v>
      </c>
      <c r="G35" s="372">
        <v>4</v>
      </c>
      <c r="H35" s="373">
        <v>3</v>
      </c>
      <c r="I35" s="362">
        <f>+G35/F35</f>
        <v>0.30769230769230771</v>
      </c>
      <c r="J35" s="362">
        <f t="shared" si="5"/>
        <v>0.23076923076923078</v>
      </c>
      <c r="K35" s="363">
        <f>+(G35/F35)*E35</f>
        <v>6.1538461538461542E-2</v>
      </c>
      <c r="L35" s="363">
        <f t="shared" si="7"/>
        <v>4.6153846153846156E-2</v>
      </c>
      <c r="M35" s="358">
        <v>3</v>
      </c>
      <c r="N35" s="651">
        <v>0</v>
      </c>
      <c r="O35" s="359">
        <v>3</v>
      </c>
      <c r="P35" s="359">
        <v>6</v>
      </c>
      <c r="Q35" s="359">
        <v>2</v>
      </c>
      <c r="R35" s="359">
        <v>0</v>
      </c>
      <c r="S35" s="721">
        <f>+N35+O35+P35+Q35+R35</f>
        <v>11</v>
      </c>
      <c r="T35" s="358">
        <f>+S35+M35</f>
        <v>14</v>
      </c>
      <c r="U35" s="360">
        <f>+M35/G35</f>
        <v>0.75</v>
      </c>
      <c r="V35" s="361">
        <v>1</v>
      </c>
      <c r="W35" s="361">
        <f>+U35*E35</f>
        <v>0.15000000000000002</v>
      </c>
      <c r="X35" s="361">
        <f>+V35*E35</f>
        <v>0.2</v>
      </c>
      <c r="Y35" s="361">
        <f>+M35/F35</f>
        <v>0.23076923076923078</v>
      </c>
      <c r="Z35" s="361">
        <v>1</v>
      </c>
      <c r="AA35" s="361">
        <f>+Y35*E35</f>
        <v>4.6153846153846156E-2</v>
      </c>
      <c r="AB35" s="361">
        <f>+Z35*E35</f>
        <v>0.2</v>
      </c>
      <c r="AC35" s="648" t="s">
        <v>1850</v>
      </c>
      <c r="AD35" s="650" t="s">
        <v>1902</v>
      </c>
      <c r="AE35" s="650" t="s">
        <v>2272</v>
      </c>
      <c r="AF35" s="1087" t="s">
        <v>2297</v>
      </c>
      <c r="AG35" s="1087" t="s">
        <v>2412</v>
      </c>
      <c r="AH35" s="1087" t="s">
        <v>2447</v>
      </c>
      <c r="AI35" s="677" t="s">
        <v>2564</v>
      </c>
    </row>
    <row r="36" spans="1:35" ht="122.4" customHeight="1" thickBot="1" x14ac:dyDescent="0.45">
      <c r="A36" s="344"/>
      <c r="B36" s="1229" t="s">
        <v>406</v>
      </c>
      <c r="C36" s="1230" t="s">
        <v>407</v>
      </c>
      <c r="D36" s="548" t="s">
        <v>357</v>
      </c>
      <c r="E36" s="352">
        <v>0.4</v>
      </c>
      <c r="F36" s="353">
        <v>6</v>
      </c>
      <c r="G36" s="372">
        <v>6</v>
      </c>
      <c r="H36" s="373">
        <v>2</v>
      </c>
      <c r="I36" s="362">
        <f>+G36/F36</f>
        <v>1</v>
      </c>
      <c r="J36" s="362">
        <f t="shared" si="5"/>
        <v>0.33333333333333331</v>
      </c>
      <c r="K36" s="363">
        <f>+(G36/F36)*E36</f>
        <v>0.4</v>
      </c>
      <c r="L36" s="363">
        <f t="shared" si="7"/>
        <v>0.13333333333333333</v>
      </c>
      <c r="M36" s="358">
        <v>2</v>
      </c>
      <c r="N36" s="651">
        <v>0</v>
      </c>
      <c r="O36" s="359">
        <v>1</v>
      </c>
      <c r="P36" s="359">
        <v>4</v>
      </c>
      <c r="Q36" s="359">
        <v>0</v>
      </c>
      <c r="R36" s="359">
        <v>0</v>
      </c>
      <c r="S36" s="721">
        <f t="shared" ref="S36:S37" si="20">+N36+O36+P36+Q36+R36</f>
        <v>5</v>
      </c>
      <c r="T36" s="358">
        <f>+S36+M36</f>
        <v>7</v>
      </c>
      <c r="U36" s="360">
        <f>+(M36/G36)</f>
        <v>0.33333333333333331</v>
      </c>
      <c r="V36" s="361">
        <v>1</v>
      </c>
      <c r="W36" s="361">
        <f>+U36*E36</f>
        <v>0.13333333333333333</v>
      </c>
      <c r="X36" s="361">
        <f>+V36*E36</f>
        <v>0.4</v>
      </c>
      <c r="Y36" s="361">
        <f>+M36/F36</f>
        <v>0.33333333333333331</v>
      </c>
      <c r="Z36" s="361">
        <v>1</v>
      </c>
      <c r="AA36" s="361">
        <f>+Y36*E36</f>
        <v>0.13333333333333333</v>
      </c>
      <c r="AB36" s="361">
        <f>+Z36*E36</f>
        <v>0.4</v>
      </c>
      <c r="AC36" s="648" t="s">
        <v>1850</v>
      </c>
      <c r="AD36" s="650" t="s">
        <v>1902</v>
      </c>
      <c r="AE36" s="650" t="s">
        <v>2272</v>
      </c>
      <c r="AF36" s="1087" t="s">
        <v>2297</v>
      </c>
      <c r="AG36" s="1087" t="s">
        <v>2412</v>
      </c>
      <c r="AH36" s="1087" t="s">
        <v>2447</v>
      </c>
      <c r="AI36" s="677" t="s">
        <v>2564</v>
      </c>
    </row>
    <row r="37" spans="1:35" ht="166.2" customHeight="1" thickBot="1" x14ac:dyDescent="0.45">
      <c r="A37" s="344"/>
      <c r="B37" s="1263" t="s">
        <v>408</v>
      </c>
      <c r="C37" s="1270" t="s">
        <v>409</v>
      </c>
      <c r="D37" s="548" t="s">
        <v>357</v>
      </c>
      <c r="E37" s="352">
        <v>0.2</v>
      </c>
      <c r="F37" s="353">
        <v>55</v>
      </c>
      <c r="G37" s="372">
        <v>12</v>
      </c>
      <c r="H37" s="373">
        <v>15</v>
      </c>
      <c r="I37" s="362">
        <f>+G37/F37</f>
        <v>0.21818181818181817</v>
      </c>
      <c r="J37" s="362">
        <f t="shared" si="5"/>
        <v>0.27272727272727271</v>
      </c>
      <c r="K37" s="363">
        <f>+(G37/F37)*E37</f>
        <v>4.363636363636364E-2</v>
      </c>
      <c r="L37" s="363">
        <f t="shared" si="7"/>
        <v>5.4545454545454543E-2</v>
      </c>
      <c r="M37" s="358">
        <v>0</v>
      </c>
      <c r="N37" s="651">
        <v>0</v>
      </c>
      <c r="O37" s="359">
        <v>0</v>
      </c>
      <c r="P37" s="359">
        <v>13</v>
      </c>
      <c r="Q37" s="359">
        <v>0</v>
      </c>
      <c r="R37" s="359">
        <v>0</v>
      </c>
      <c r="S37" s="721">
        <f t="shared" si="20"/>
        <v>13</v>
      </c>
      <c r="T37" s="358">
        <f>+S37+M37</f>
        <v>13</v>
      </c>
      <c r="U37" s="360">
        <f>+(M37/G37)</f>
        <v>0</v>
      </c>
      <c r="V37" s="361">
        <f>+S37/H37</f>
        <v>0.8666666666666667</v>
      </c>
      <c r="W37" s="361">
        <f>+U37*E37</f>
        <v>0</v>
      </c>
      <c r="X37" s="361">
        <f>+V37*E37</f>
        <v>0.17333333333333334</v>
      </c>
      <c r="Y37" s="361">
        <f>+M37/F37</f>
        <v>0</v>
      </c>
      <c r="Z37" s="361">
        <f>+T37/F37</f>
        <v>0.23636363636363636</v>
      </c>
      <c r="AA37" s="361">
        <f>+Y37*E37</f>
        <v>0</v>
      </c>
      <c r="AB37" s="361">
        <f>+Z37*E37</f>
        <v>4.7272727272727272E-2</v>
      </c>
      <c r="AC37" s="648" t="s">
        <v>1850</v>
      </c>
      <c r="AD37" s="650" t="s">
        <v>1902</v>
      </c>
      <c r="AE37" s="650" t="s">
        <v>2272</v>
      </c>
      <c r="AF37" s="1087" t="s">
        <v>2297</v>
      </c>
      <c r="AG37" s="1087" t="s">
        <v>2412</v>
      </c>
      <c r="AH37" s="649" t="s">
        <v>1865</v>
      </c>
      <c r="AI37" s="677" t="s">
        <v>2564</v>
      </c>
    </row>
    <row r="38" spans="1:35" ht="122.4" customHeight="1" thickBot="1" x14ac:dyDescent="0.45">
      <c r="A38" s="344"/>
      <c r="B38" s="1229" t="s">
        <v>410</v>
      </c>
      <c r="C38" s="1230" t="s">
        <v>411</v>
      </c>
      <c r="D38" s="548" t="s">
        <v>357</v>
      </c>
      <c r="E38" s="352">
        <v>0.2</v>
      </c>
      <c r="F38" s="353">
        <v>600</v>
      </c>
      <c r="G38" s="372">
        <v>150</v>
      </c>
      <c r="H38" s="373">
        <v>150</v>
      </c>
      <c r="I38" s="362">
        <f>+G38/F38</f>
        <v>0.25</v>
      </c>
      <c r="J38" s="362">
        <f t="shared" si="5"/>
        <v>0.25</v>
      </c>
      <c r="K38" s="363">
        <f>+(G38/F38)*E38</f>
        <v>0.05</v>
      </c>
      <c r="L38" s="363">
        <f t="shared" si="7"/>
        <v>0.05</v>
      </c>
      <c r="M38" s="358">
        <v>6</v>
      </c>
      <c r="N38" s="651">
        <v>0</v>
      </c>
      <c r="O38" s="359">
        <v>0</v>
      </c>
      <c r="P38" s="359">
        <v>179</v>
      </c>
      <c r="Q38" s="359">
        <v>0</v>
      </c>
      <c r="R38" s="359">
        <v>194</v>
      </c>
      <c r="S38" s="721">
        <f>+Q38+R38</f>
        <v>194</v>
      </c>
      <c r="T38" s="721">
        <f>+S38+M38</f>
        <v>200</v>
      </c>
      <c r="U38" s="360">
        <f>+(M38/G38)</f>
        <v>0.04</v>
      </c>
      <c r="V38" s="361">
        <v>1</v>
      </c>
      <c r="W38" s="361">
        <f>+U38*E38</f>
        <v>8.0000000000000002E-3</v>
      </c>
      <c r="X38" s="361">
        <f>+V38*E38</f>
        <v>0.2</v>
      </c>
      <c r="Y38" s="380">
        <f>+M38/F38</f>
        <v>0.01</v>
      </c>
      <c r="Z38" s="361">
        <f>+T38/F38</f>
        <v>0.33333333333333331</v>
      </c>
      <c r="AA38" s="361">
        <f>+Y38*E38</f>
        <v>2E-3</v>
      </c>
      <c r="AB38" s="361">
        <f>+Z38*E38</f>
        <v>6.6666666666666666E-2</v>
      </c>
      <c r="AC38" s="648" t="s">
        <v>1850</v>
      </c>
      <c r="AD38" s="650" t="s">
        <v>1902</v>
      </c>
      <c r="AE38" s="650" t="s">
        <v>2272</v>
      </c>
      <c r="AF38" s="1087" t="s">
        <v>2297</v>
      </c>
      <c r="AG38" s="1087" t="s">
        <v>2412</v>
      </c>
      <c r="AH38" s="1087" t="s">
        <v>2447</v>
      </c>
      <c r="AI38" s="677" t="s">
        <v>2564</v>
      </c>
    </row>
    <row r="39" spans="1:35" ht="122.4" customHeight="1" thickBot="1" x14ac:dyDescent="0.55000000000000004">
      <c r="A39" s="344"/>
      <c r="B39" s="1306" t="s">
        <v>1646</v>
      </c>
      <c r="C39" s="1307"/>
      <c r="D39" s="693"/>
      <c r="E39" s="349">
        <v>0.05</v>
      </c>
      <c r="F39" s="367"/>
      <c r="G39" s="368"/>
      <c r="H39" s="350"/>
      <c r="I39" s="369">
        <f>+AVERAGE(I40:I42)</f>
        <v>0.40860215053763443</v>
      </c>
      <c r="J39" s="369">
        <f>+AVERAGE(J40:J42)</f>
        <v>0.19892473118279572</v>
      </c>
      <c r="K39" s="370">
        <f>+K40+K41+K42</f>
        <v>0.34516129032258069</v>
      </c>
      <c r="L39" s="370">
        <f>+L40+L41+L42</f>
        <v>0.21935483870967742</v>
      </c>
      <c r="M39" s="358"/>
      <c r="N39" s="371"/>
      <c r="O39" s="371"/>
      <c r="P39" s="371"/>
      <c r="Q39" s="371"/>
      <c r="R39" s="1178"/>
      <c r="S39" s="371"/>
      <c r="T39" s="371"/>
      <c r="U39" s="579">
        <f>+AVERAGE(U40:U42)</f>
        <v>0.53833285971393385</v>
      </c>
      <c r="V39" s="579">
        <f>+AVERAGE(V40:V42)</f>
        <v>0.84513213981244684</v>
      </c>
      <c r="W39" s="392">
        <f>+(W40+W41+W42)*E39</f>
        <v>2.2708297811878372E-2</v>
      </c>
      <c r="X39" s="392">
        <f>+(X40+X41+X42)*E39</f>
        <v>3.8384910485933503E-2</v>
      </c>
      <c r="Y39" s="351">
        <f>+AVERAGE(Y40:Y42)</f>
        <v>0.24342431409216325</v>
      </c>
      <c r="Z39" s="351">
        <f>+AVERAGE(Z40:Z42)</f>
        <v>0.7199403239556692</v>
      </c>
      <c r="AA39" s="351">
        <f>+(AA40+AA41+AA42)*E39</f>
        <v>9.3589740945466543E-3</v>
      </c>
      <c r="AB39" s="351">
        <f>+(AB40+AB41+AB42)</f>
        <v>0.57991048593350381</v>
      </c>
      <c r="AC39" s="764"/>
      <c r="AD39" s="350"/>
      <c r="AE39" s="350"/>
      <c r="AF39" s="350"/>
      <c r="AG39" s="350"/>
      <c r="AH39" s="1088"/>
      <c r="AI39" s="1085"/>
    </row>
    <row r="40" spans="1:35" ht="122.4" customHeight="1" thickBot="1" x14ac:dyDescent="0.45">
      <c r="A40" s="344"/>
      <c r="B40" s="1206" t="s">
        <v>412</v>
      </c>
      <c r="C40" s="1195" t="s">
        <v>413</v>
      </c>
      <c r="D40" s="394" t="s">
        <v>357</v>
      </c>
      <c r="E40" s="352">
        <v>0.3</v>
      </c>
      <c r="F40" s="353">
        <v>600</v>
      </c>
      <c r="G40" s="372">
        <v>150</v>
      </c>
      <c r="H40" s="373">
        <v>150</v>
      </c>
      <c r="I40" s="362">
        <f>+G40/F40</f>
        <v>0.25</v>
      </c>
      <c r="J40" s="362">
        <f t="shared" si="5"/>
        <v>0.25</v>
      </c>
      <c r="K40" s="363">
        <f>+(G40/F40)*E40</f>
        <v>7.4999999999999997E-2</v>
      </c>
      <c r="L40" s="363">
        <f t="shared" si="7"/>
        <v>7.4999999999999997E-2</v>
      </c>
      <c r="M40" s="358">
        <v>200</v>
      </c>
      <c r="N40" s="651">
        <v>0</v>
      </c>
      <c r="O40" s="359">
        <v>509</v>
      </c>
      <c r="P40" s="359">
        <v>96</v>
      </c>
      <c r="Q40" s="359">
        <v>0</v>
      </c>
      <c r="R40" s="359">
        <v>0</v>
      </c>
      <c r="S40" s="721">
        <f>+N40+O40+P40+Q40+R40</f>
        <v>605</v>
      </c>
      <c r="T40" s="358">
        <f>+S40+M40</f>
        <v>805</v>
      </c>
      <c r="U40" s="360">
        <v>1</v>
      </c>
      <c r="V40" s="361">
        <v>1</v>
      </c>
      <c r="W40" s="361">
        <f>+U40*E40</f>
        <v>0.3</v>
      </c>
      <c r="X40" s="361">
        <f>+V40*E40</f>
        <v>0.3</v>
      </c>
      <c r="Y40" s="361">
        <f>+M40/F40</f>
        <v>0.33333333333333331</v>
      </c>
      <c r="Z40" s="361">
        <v>1</v>
      </c>
      <c r="AA40" s="361">
        <f>+Y40*E40</f>
        <v>9.9999999999999992E-2</v>
      </c>
      <c r="AB40" s="361">
        <f>+Z40*E40</f>
        <v>0.3</v>
      </c>
      <c r="AC40" s="648" t="s">
        <v>1850</v>
      </c>
      <c r="AD40" s="650" t="s">
        <v>1902</v>
      </c>
      <c r="AE40" s="350"/>
      <c r="AF40" s="650" t="s">
        <v>2308</v>
      </c>
      <c r="AG40" s="1087" t="s">
        <v>2412</v>
      </c>
      <c r="AH40" s="1087" t="s">
        <v>2447</v>
      </c>
      <c r="AI40" s="677" t="s">
        <v>2564</v>
      </c>
    </row>
    <row r="41" spans="1:35" ht="122.4" customHeight="1" thickBot="1" x14ac:dyDescent="0.45">
      <c r="A41" s="344"/>
      <c r="B41" s="1206" t="s">
        <v>414</v>
      </c>
      <c r="C41" s="1195" t="s">
        <v>415</v>
      </c>
      <c r="D41" s="394" t="s">
        <v>357</v>
      </c>
      <c r="E41" s="352">
        <v>0.5</v>
      </c>
      <c r="F41" s="353">
        <v>78200</v>
      </c>
      <c r="G41" s="372">
        <v>19550</v>
      </c>
      <c r="H41" s="373">
        <v>19550</v>
      </c>
      <c r="I41" s="362">
        <f>+G41/F41</f>
        <v>0.25</v>
      </c>
      <c r="J41" s="362">
        <f t="shared" si="5"/>
        <v>0.25</v>
      </c>
      <c r="K41" s="363">
        <f>+(G41/F41)*E41</f>
        <v>0.125</v>
      </c>
      <c r="L41" s="363">
        <f t="shared" si="7"/>
        <v>0.125</v>
      </c>
      <c r="M41" s="358">
        <v>2031</v>
      </c>
      <c r="N41" s="651">
        <v>0</v>
      </c>
      <c r="O41" s="359">
        <v>7931</v>
      </c>
      <c r="P41" s="359">
        <v>2536</v>
      </c>
      <c r="Q41" s="359">
        <v>0</v>
      </c>
      <c r="R41" s="359">
        <v>0</v>
      </c>
      <c r="S41" s="721">
        <f>+N41+O41+P41+Q41+R41</f>
        <v>10467</v>
      </c>
      <c r="T41" s="358">
        <f>+S41+M41</f>
        <v>12498</v>
      </c>
      <c r="U41" s="360">
        <f>+(M41/G41)</f>
        <v>0.10388746803069053</v>
      </c>
      <c r="V41" s="361">
        <f>+S41/H41</f>
        <v>0.53539641943734018</v>
      </c>
      <c r="W41" s="361">
        <f>+U41*E41</f>
        <v>5.1943734015345265E-2</v>
      </c>
      <c r="X41" s="361">
        <f>+V41*E41</f>
        <v>0.26769820971867009</v>
      </c>
      <c r="Y41" s="361">
        <f>+M41/F41</f>
        <v>2.5971867007672633E-2</v>
      </c>
      <c r="Z41" s="361">
        <f>+T41/F41</f>
        <v>0.15982097186700767</v>
      </c>
      <c r="AA41" s="361">
        <f>+Y41*E41</f>
        <v>1.2985933503836316E-2</v>
      </c>
      <c r="AB41" s="361">
        <f>+Z41*E41</f>
        <v>7.9910485933503833E-2</v>
      </c>
      <c r="AC41" s="648" t="s">
        <v>1850</v>
      </c>
      <c r="AD41" s="650" t="s">
        <v>1902</v>
      </c>
      <c r="AE41" s="350"/>
      <c r="AF41" s="1087" t="s">
        <v>2297</v>
      </c>
      <c r="AG41" s="1087" t="s">
        <v>2412</v>
      </c>
      <c r="AH41" s="1087" t="s">
        <v>2447</v>
      </c>
      <c r="AI41" s="677" t="s">
        <v>2564</v>
      </c>
    </row>
    <row r="42" spans="1:35" ht="122.4" customHeight="1" thickBot="1" x14ac:dyDescent="0.45">
      <c r="A42" s="344"/>
      <c r="B42" s="1206" t="s">
        <v>416</v>
      </c>
      <c r="C42" s="1195" t="s">
        <v>417</v>
      </c>
      <c r="D42" s="394" t="s">
        <v>357</v>
      </c>
      <c r="E42" s="352">
        <v>0.2</v>
      </c>
      <c r="F42" s="353">
        <v>62</v>
      </c>
      <c r="G42" s="372">
        <v>45</v>
      </c>
      <c r="H42" s="373">
        <v>6</v>
      </c>
      <c r="I42" s="362">
        <f>+G42/F42</f>
        <v>0.72580645161290325</v>
      </c>
      <c r="J42" s="362">
        <f t="shared" si="5"/>
        <v>9.6774193548387094E-2</v>
      </c>
      <c r="K42" s="363">
        <f>+(G42/F42)*E42</f>
        <v>0.14516129032258066</v>
      </c>
      <c r="L42" s="363">
        <f t="shared" si="7"/>
        <v>1.935483870967742E-2</v>
      </c>
      <c r="M42" s="358">
        <v>23</v>
      </c>
      <c r="N42" s="651">
        <v>59</v>
      </c>
      <c r="O42" s="359">
        <v>5</v>
      </c>
      <c r="P42" s="359">
        <v>27</v>
      </c>
      <c r="Q42" s="359">
        <v>73</v>
      </c>
      <c r="R42" s="359">
        <v>0</v>
      </c>
      <c r="S42" s="721">
        <f t="shared" ref="S42" si="21">+N42+O42+P42+Q42+R42</f>
        <v>164</v>
      </c>
      <c r="T42" s="358">
        <f>+S42+M42</f>
        <v>187</v>
      </c>
      <c r="U42" s="360">
        <f>+(M42/G42)</f>
        <v>0.51111111111111107</v>
      </c>
      <c r="V42" s="361">
        <v>1</v>
      </c>
      <c r="W42" s="361">
        <f>+U42*E42</f>
        <v>0.10222222222222221</v>
      </c>
      <c r="X42" s="361">
        <f>+V42*E42</f>
        <v>0.2</v>
      </c>
      <c r="Y42" s="361">
        <f>+M42/F42</f>
        <v>0.37096774193548387</v>
      </c>
      <c r="Z42" s="361">
        <v>1</v>
      </c>
      <c r="AA42" s="361">
        <f>+Y42*E42</f>
        <v>7.4193548387096783E-2</v>
      </c>
      <c r="AB42" s="361">
        <f>+Z42*E42</f>
        <v>0.2</v>
      </c>
      <c r="AC42" s="648" t="s">
        <v>1850</v>
      </c>
      <c r="AD42" s="650" t="s">
        <v>1908</v>
      </c>
      <c r="AE42" s="650" t="s">
        <v>1591</v>
      </c>
      <c r="AF42" s="650" t="s">
        <v>2308</v>
      </c>
      <c r="AG42" s="1087" t="s">
        <v>2412</v>
      </c>
      <c r="AH42" s="1087" t="s">
        <v>2447</v>
      </c>
      <c r="AI42" s="677" t="s">
        <v>2564</v>
      </c>
    </row>
    <row r="43" spans="1:35" ht="122.4" customHeight="1" thickBot="1" x14ac:dyDescent="0.55000000000000004">
      <c r="A43" s="344"/>
      <c r="B43" s="1308" t="s">
        <v>1647</v>
      </c>
      <c r="C43" s="1310"/>
      <c r="D43" s="394"/>
      <c r="E43" s="381">
        <v>0.02</v>
      </c>
      <c r="F43" s="353"/>
      <c r="G43" s="368"/>
      <c r="H43" s="350"/>
      <c r="I43" s="369">
        <f>+AVERAGE(I44:I48)</f>
        <v>0.40173750334135255</v>
      </c>
      <c r="J43" s="369">
        <f>+AVERAGE(J44:J48)</f>
        <v>0.22403635391606525</v>
      </c>
      <c r="K43" s="370">
        <f>+K44+K45+K46+K47+K48</f>
        <v>0.32804397219994652</v>
      </c>
      <c r="L43" s="370">
        <f>+L44+L45+L46+L47+L48</f>
        <v>0.24091753541833738</v>
      </c>
      <c r="M43" s="358"/>
      <c r="N43" s="371"/>
      <c r="O43" s="371"/>
      <c r="P43" s="371"/>
      <c r="Q43" s="371"/>
      <c r="R43" s="1178"/>
      <c r="S43" s="371"/>
      <c r="T43" s="371"/>
      <c r="U43" s="579">
        <f>+AVERAGE(U44:U48)</f>
        <v>0.45333333333333331</v>
      </c>
      <c r="V43" s="579">
        <f>+AVERAGE(V44:V48)</f>
        <v>0.67272727272727273</v>
      </c>
      <c r="W43" s="392">
        <f>+(W44+W45+W46+W47+W48)*E43</f>
        <v>7.5333333333333329E-3</v>
      </c>
      <c r="X43" s="392">
        <f>+(X44+X45+X46+X47+X48)*E43</f>
        <v>1.290909090909091E-2</v>
      </c>
      <c r="Y43" s="351">
        <f>+AVERAGE(Y44:Y48)</f>
        <v>0.17229885057471264</v>
      </c>
      <c r="Z43" s="351">
        <f>+AVERAGE(Z44:Z48)</f>
        <v>0.51906442127773322</v>
      </c>
      <c r="AA43" s="351">
        <f>+(AA44+AA45+AA46+AA47+AA48)*E43</f>
        <v>2.7574712643678163E-3</v>
      </c>
      <c r="AB43" s="351">
        <f>+(AB44+AB45+AB46+AB47+AB48)</f>
        <v>0.44778401496925957</v>
      </c>
      <c r="AC43" s="764"/>
      <c r="AD43" s="350"/>
      <c r="AE43" s="350"/>
      <c r="AF43" s="350"/>
      <c r="AG43" s="350"/>
      <c r="AH43" s="1088"/>
      <c r="AI43" s="1085"/>
    </row>
    <row r="44" spans="1:35" ht="122.4" customHeight="1" thickBot="1" x14ac:dyDescent="0.45">
      <c r="A44" s="344"/>
      <c r="B44" s="1229" t="s">
        <v>418</v>
      </c>
      <c r="C44" s="1204" t="s">
        <v>419</v>
      </c>
      <c r="D44" s="394" t="s">
        <v>357</v>
      </c>
      <c r="E44" s="352">
        <v>0.25</v>
      </c>
      <c r="F44" s="353">
        <v>87</v>
      </c>
      <c r="G44" s="372">
        <v>22</v>
      </c>
      <c r="H44" s="373">
        <v>23</v>
      </c>
      <c r="I44" s="362">
        <f>+G44/F44</f>
        <v>0.25287356321839083</v>
      </c>
      <c r="J44" s="362">
        <f t="shared" si="5"/>
        <v>0.26436781609195403</v>
      </c>
      <c r="K44" s="363">
        <f>+(G44/F44)*E44</f>
        <v>6.3218390804597707E-2</v>
      </c>
      <c r="L44" s="363">
        <f t="shared" si="7"/>
        <v>6.6091954022988508E-2</v>
      </c>
      <c r="M44" s="358">
        <v>30</v>
      </c>
      <c r="N44" s="647">
        <v>16</v>
      </c>
      <c r="O44" s="651">
        <v>12</v>
      </c>
      <c r="P44" s="359">
        <v>0</v>
      </c>
      <c r="Q44" s="359">
        <v>6</v>
      </c>
      <c r="R44" s="359">
        <v>0</v>
      </c>
      <c r="S44" s="721">
        <f>+N44+O44+P44+Q44+R44</f>
        <v>34</v>
      </c>
      <c r="T44" s="358">
        <f>+S44+M44</f>
        <v>64</v>
      </c>
      <c r="U44" s="360">
        <v>1</v>
      </c>
      <c r="V44" s="361">
        <v>1</v>
      </c>
      <c r="W44" s="361">
        <f>+U44*E44</f>
        <v>0.25</v>
      </c>
      <c r="X44" s="361">
        <f>+V44*E44</f>
        <v>0.25</v>
      </c>
      <c r="Y44" s="361">
        <f>+M44/F44</f>
        <v>0.34482758620689657</v>
      </c>
      <c r="Z44" s="361">
        <f>+T44/F44</f>
        <v>0.73563218390804597</v>
      </c>
      <c r="AA44" s="361">
        <f>+Y44*E44</f>
        <v>8.6206896551724144E-2</v>
      </c>
      <c r="AB44" s="361">
        <f>+Z44*E44</f>
        <v>0.18390804597701149</v>
      </c>
      <c r="AC44" s="648" t="s">
        <v>1850</v>
      </c>
      <c r="AD44" s="650" t="s">
        <v>1902</v>
      </c>
      <c r="AE44" s="650" t="s">
        <v>2272</v>
      </c>
      <c r="AF44" s="650" t="s">
        <v>2308</v>
      </c>
      <c r="AG44" s="1087" t="s">
        <v>2412</v>
      </c>
      <c r="AH44" s="1087" t="s">
        <v>2447</v>
      </c>
      <c r="AI44" s="677" t="s">
        <v>2564</v>
      </c>
    </row>
    <row r="45" spans="1:35" ht="122.4" customHeight="1" thickBot="1" x14ac:dyDescent="0.45">
      <c r="A45" s="344"/>
      <c r="B45" s="1229" t="s">
        <v>420</v>
      </c>
      <c r="C45" s="1204" t="s">
        <v>421</v>
      </c>
      <c r="D45" s="394" t="s">
        <v>357</v>
      </c>
      <c r="E45" s="352">
        <v>0.4</v>
      </c>
      <c r="F45" s="353">
        <v>86</v>
      </c>
      <c r="G45" s="372">
        <v>22</v>
      </c>
      <c r="H45" s="373">
        <v>22</v>
      </c>
      <c r="I45" s="362">
        <f>+G45/F45</f>
        <v>0.2558139534883721</v>
      </c>
      <c r="J45" s="362">
        <f t="shared" si="5"/>
        <v>0.2558139534883721</v>
      </c>
      <c r="K45" s="363">
        <f>+(G45/F45)*E45</f>
        <v>0.10232558139534885</v>
      </c>
      <c r="L45" s="363">
        <f t="shared" si="7"/>
        <v>0.10232558139534885</v>
      </c>
      <c r="M45" s="358">
        <v>0</v>
      </c>
      <c r="N45" s="651">
        <v>0</v>
      </c>
      <c r="O45" s="651">
        <v>0</v>
      </c>
      <c r="P45" s="359">
        <v>1</v>
      </c>
      <c r="Q45" s="359">
        <v>7</v>
      </c>
      <c r="R45" s="359">
        <v>0</v>
      </c>
      <c r="S45" s="721">
        <f t="shared" ref="S45:S48" si="22">+N45+O45+P45+Q45+R45</f>
        <v>8</v>
      </c>
      <c r="T45" s="358">
        <f>+S45+M45</f>
        <v>8</v>
      </c>
      <c r="U45" s="360">
        <f>+(M45/G45)</f>
        <v>0</v>
      </c>
      <c r="V45" s="361">
        <f>+S45/H45</f>
        <v>0.36363636363636365</v>
      </c>
      <c r="W45" s="361">
        <f>+U45*E45</f>
        <v>0</v>
      </c>
      <c r="X45" s="361">
        <f>+V45*E45</f>
        <v>0.14545454545454548</v>
      </c>
      <c r="Y45" s="361">
        <f>+M45/F45</f>
        <v>0</v>
      </c>
      <c r="Z45" s="361">
        <f>+T45/F45</f>
        <v>9.3023255813953487E-2</v>
      </c>
      <c r="AA45" s="361">
        <f>+Y45*E45</f>
        <v>0</v>
      </c>
      <c r="AB45" s="361">
        <f>+Z45*E45</f>
        <v>3.7209302325581395E-2</v>
      </c>
      <c r="AC45" s="648" t="s">
        <v>1850</v>
      </c>
      <c r="AD45" s="650" t="s">
        <v>1902</v>
      </c>
      <c r="AE45" s="650" t="s">
        <v>2272</v>
      </c>
      <c r="AF45" s="1087" t="s">
        <v>2297</v>
      </c>
      <c r="AG45" s="1087" t="s">
        <v>2412</v>
      </c>
      <c r="AH45" s="1087" t="s">
        <v>2447</v>
      </c>
      <c r="AI45" s="677" t="s">
        <v>2564</v>
      </c>
    </row>
    <row r="46" spans="1:35" ht="122.4" customHeight="1" thickBot="1" x14ac:dyDescent="0.45">
      <c r="A46" s="344"/>
      <c r="B46" s="1263" t="s">
        <v>422</v>
      </c>
      <c r="C46" s="1199" t="s">
        <v>423</v>
      </c>
      <c r="D46" s="394" t="s">
        <v>357</v>
      </c>
      <c r="E46" s="352">
        <v>0.15</v>
      </c>
      <c r="F46" s="353">
        <v>1</v>
      </c>
      <c r="G46" s="372">
        <v>0.25</v>
      </c>
      <c r="H46" s="373">
        <v>0.25</v>
      </c>
      <c r="I46" s="362">
        <f>+G46/F46</f>
        <v>0.25</v>
      </c>
      <c r="J46" s="362">
        <f t="shared" si="5"/>
        <v>0.25</v>
      </c>
      <c r="K46" s="363">
        <f>+(G46/F46)*E46</f>
        <v>3.7499999999999999E-2</v>
      </c>
      <c r="L46" s="363">
        <f t="shared" si="7"/>
        <v>3.7499999999999999E-2</v>
      </c>
      <c r="M46" s="358">
        <v>0</v>
      </c>
      <c r="N46" s="365">
        <v>0.25</v>
      </c>
      <c r="O46" s="359">
        <v>0.75</v>
      </c>
      <c r="P46" s="359">
        <v>0</v>
      </c>
      <c r="Q46" s="359">
        <v>0</v>
      </c>
      <c r="R46" s="359">
        <v>0</v>
      </c>
      <c r="S46" s="721">
        <f t="shared" si="22"/>
        <v>1</v>
      </c>
      <c r="T46" s="358">
        <f>+S46+M46</f>
        <v>1</v>
      </c>
      <c r="U46" s="360">
        <f>+(M46/G46)</f>
        <v>0</v>
      </c>
      <c r="V46" s="361">
        <v>1</v>
      </c>
      <c r="W46" s="361">
        <f>+U46*E46</f>
        <v>0</v>
      </c>
      <c r="X46" s="361">
        <f>+V46*E46</f>
        <v>0.15</v>
      </c>
      <c r="Y46" s="361">
        <f>+M46/F46</f>
        <v>0</v>
      </c>
      <c r="Z46" s="361">
        <f>+T46/F46</f>
        <v>1</v>
      </c>
      <c r="AA46" s="361">
        <f>+Y46*E46</f>
        <v>0</v>
      </c>
      <c r="AB46" s="361">
        <f>+Z46*E46</f>
        <v>0.15</v>
      </c>
      <c r="AC46" s="648" t="s">
        <v>1850</v>
      </c>
      <c r="AD46" s="650" t="s">
        <v>1902</v>
      </c>
      <c r="AE46" s="650" t="s">
        <v>2272</v>
      </c>
      <c r="AF46" s="650" t="s">
        <v>2308</v>
      </c>
      <c r="AG46" s="1087" t="s">
        <v>2412</v>
      </c>
      <c r="AH46" s="649" t="s">
        <v>1865</v>
      </c>
      <c r="AI46" s="677" t="s">
        <v>2564</v>
      </c>
    </row>
    <row r="47" spans="1:35" ht="122.4" customHeight="1" thickBot="1" x14ac:dyDescent="0.45">
      <c r="A47" s="344"/>
      <c r="B47" s="1229" t="s">
        <v>424</v>
      </c>
      <c r="C47" s="1204" t="s">
        <v>425</v>
      </c>
      <c r="D47" s="394" t="s">
        <v>357</v>
      </c>
      <c r="E47" s="352">
        <v>0.1</v>
      </c>
      <c r="F47" s="353">
        <v>4</v>
      </c>
      <c r="G47" s="372">
        <v>1</v>
      </c>
      <c r="H47" s="373">
        <v>1</v>
      </c>
      <c r="I47" s="362">
        <f>+G47/F47</f>
        <v>0.25</v>
      </c>
      <c r="J47" s="362">
        <f t="shared" si="5"/>
        <v>0.25</v>
      </c>
      <c r="K47" s="363">
        <f>+(G47/F47)*E47</f>
        <v>2.5000000000000001E-2</v>
      </c>
      <c r="L47" s="363">
        <f t="shared" si="7"/>
        <v>2.5000000000000001E-2</v>
      </c>
      <c r="M47" s="358">
        <v>1</v>
      </c>
      <c r="N47" s="651">
        <v>0</v>
      </c>
      <c r="O47" s="651">
        <v>0</v>
      </c>
      <c r="P47" s="359">
        <v>0</v>
      </c>
      <c r="Q47" s="359">
        <v>1</v>
      </c>
      <c r="R47" s="359">
        <v>0</v>
      </c>
      <c r="S47" s="721">
        <f t="shared" si="22"/>
        <v>1</v>
      </c>
      <c r="T47" s="358">
        <f>+S47+M47</f>
        <v>2</v>
      </c>
      <c r="U47" s="360">
        <f>+(M47/G47)</f>
        <v>1</v>
      </c>
      <c r="V47" s="361">
        <f>+S47/H47</f>
        <v>1</v>
      </c>
      <c r="W47" s="361">
        <f>+U47*E47</f>
        <v>0.1</v>
      </c>
      <c r="X47" s="361">
        <f>+V47*E47</f>
        <v>0.1</v>
      </c>
      <c r="Y47" s="361">
        <f>+M47/F47</f>
        <v>0.25</v>
      </c>
      <c r="Z47" s="361">
        <f>+T47/F47</f>
        <v>0.5</v>
      </c>
      <c r="AA47" s="361">
        <f>+Y47*E47</f>
        <v>2.5000000000000001E-2</v>
      </c>
      <c r="AB47" s="361">
        <f>+Z47*E47</f>
        <v>0.05</v>
      </c>
      <c r="AC47" s="648" t="s">
        <v>1850</v>
      </c>
      <c r="AD47" s="650" t="s">
        <v>1902</v>
      </c>
      <c r="AE47" s="650" t="s">
        <v>2272</v>
      </c>
      <c r="AF47" s="1087" t="s">
        <v>2297</v>
      </c>
      <c r="AG47" s="1087" t="s">
        <v>2412</v>
      </c>
      <c r="AH47" s="1087" t="s">
        <v>2447</v>
      </c>
      <c r="AI47" s="677" t="s">
        <v>2564</v>
      </c>
    </row>
    <row r="48" spans="1:35" ht="122.4" customHeight="1" thickBot="1" x14ac:dyDescent="0.45">
      <c r="A48" s="344"/>
      <c r="B48" s="1229" t="s">
        <v>426</v>
      </c>
      <c r="C48" s="1204" t="s">
        <v>427</v>
      </c>
      <c r="D48" s="394" t="s">
        <v>357</v>
      </c>
      <c r="E48" s="352">
        <v>0.1</v>
      </c>
      <c r="F48" s="353">
        <v>30</v>
      </c>
      <c r="G48" s="372">
        <v>30</v>
      </c>
      <c r="H48" s="373">
        <v>3</v>
      </c>
      <c r="I48" s="362">
        <f>+G48/F48</f>
        <v>1</v>
      </c>
      <c r="J48" s="362">
        <f t="shared" si="5"/>
        <v>0.1</v>
      </c>
      <c r="K48" s="363">
        <f>+(G48/F48)*E48</f>
        <v>0.1</v>
      </c>
      <c r="L48" s="363">
        <f t="shared" si="7"/>
        <v>1.0000000000000002E-2</v>
      </c>
      <c r="M48" s="358">
        <v>8</v>
      </c>
      <c r="N48" s="651">
        <v>0</v>
      </c>
      <c r="O48" s="651">
        <v>0</v>
      </c>
      <c r="P48" s="359">
        <v>0</v>
      </c>
      <c r="Q48" s="359">
        <v>0</v>
      </c>
      <c r="R48" s="359">
        <v>0</v>
      </c>
      <c r="S48" s="721">
        <f t="shared" si="22"/>
        <v>0</v>
      </c>
      <c r="T48" s="358">
        <f>+S48+M48</f>
        <v>8</v>
      </c>
      <c r="U48" s="360">
        <f>+(M48/G48)</f>
        <v>0.26666666666666666</v>
      </c>
      <c r="V48" s="361">
        <f>+S48/H48</f>
        <v>0</v>
      </c>
      <c r="W48" s="361">
        <f>+U48*E48</f>
        <v>2.6666666666666668E-2</v>
      </c>
      <c r="X48" s="361">
        <f>+V48*E48</f>
        <v>0</v>
      </c>
      <c r="Y48" s="361">
        <f>+M48/F48</f>
        <v>0.26666666666666666</v>
      </c>
      <c r="Z48" s="361">
        <f>+T48/F48</f>
        <v>0.26666666666666666</v>
      </c>
      <c r="AA48" s="361">
        <f>+Y48*E48</f>
        <v>2.6666666666666668E-2</v>
      </c>
      <c r="AB48" s="361">
        <f>+Z48*E48</f>
        <v>2.6666666666666668E-2</v>
      </c>
      <c r="AC48" s="648" t="s">
        <v>1850</v>
      </c>
      <c r="AD48" s="649" t="s">
        <v>1911</v>
      </c>
      <c r="AE48" s="650" t="s">
        <v>2272</v>
      </c>
      <c r="AF48" s="1087" t="s">
        <v>2297</v>
      </c>
      <c r="AG48" s="1087" t="s">
        <v>2412</v>
      </c>
      <c r="AH48" s="1087" t="s">
        <v>2447</v>
      </c>
      <c r="AI48" s="677" t="s">
        <v>2564</v>
      </c>
    </row>
    <row r="49" spans="1:35" ht="122.4" customHeight="1" thickBot="1" x14ac:dyDescent="0.55000000000000004">
      <c r="A49" s="344"/>
      <c r="B49" s="1308" t="s">
        <v>1648</v>
      </c>
      <c r="C49" s="1310"/>
      <c r="D49" s="394"/>
      <c r="E49" s="349">
        <v>0.02</v>
      </c>
      <c r="F49" s="367"/>
      <c r="G49" s="368"/>
      <c r="H49" s="350"/>
      <c r="I49" s="369"/>
      <c r="J49" s="369">
        <f>+AVERAGE(J50:J51)</f>
        <v>6.6666666666666666E-2</v>
      </c>
      <c r="K49" s="370"/>
      <c r="L49" s="370">
        <f>+L50+L51</f>
        <v>6.6666666666666666E-2</v>
      </c>
      <c r="M49" s="358"/>
      <c r="N49" s="652"/>
      <c r="O49" s="371"/>
      <c r="P49" s="371"/>
      <c r="Q49" s="371"/>
      <c r="R49" s="1178"/>
      <c r="S49" s="371"/>
      <c r="T49" s="371"/>
      <c r="U49" s="579"/>
      <c r="V49" s="392">
        <f>+AVERAGE(V50:V51)</f>
        <v>1</v>
      </c>
      <c r="W49" s="392"/>
      <c r="X49" s="392">
        <f>+(X50+X51)*E49</f>
        <v>0.02</v>
      </c>
      <c r="Y49" s="351"/>
      <c r="Z49" s="351">
        <f>+AVERAGE(Z50:Z51)</f>
        <v>0.33333333333333331</v>
      </c>
      <c r="AA49" s="351">
        <f>+(AA50+AA51)*E49</f>
        <v>0</v>
      </c>
      <c r="AB49" s="351">
        <f>+(AB50+AB51)</f>
        <v>0.33333333333333331</v>
      </c>
      <c r="AC49" s="764"/>
      <c r="AD49" s="350"/>
      <c r="AE49" s="350"/>
      <c r="AF49" s="350"/>
      <c r="AG49" s="350"/>
      <c r="AH49" s="1088"/>
      <c r="AI49" s="1085"/>
    </row>
    <row r="50" spans="1:35" ht="122.4" customHeight="1" thickBot="1" x14ac:dyDescent="0.45">
      <c r="A50" s="344"/>
      <c r="B50" s="1229" t="s">
        <v>428</v>
      </c>
      <c r="C50" s="1204" t="s">
        <v>429</v>
      </c>
      <c r="D50" s="394" t="s">
        <v>357</v>
      </c>
      <c r="E50" s="352">
        <v>0.5</v>
      </c>
      <c r="F50" s="353">
        <v>15</v>
      </c>
      <c r="G50" s="372"/>
      <c r="H50" s="373">
        <v>1</v>
      </c>
      <c r="I50" s="362"/>
      <c r="J50" s="362">
        <f>+H50/F50</f>
        <v>6.6666666666666666E-2</v>
      </c>
      <c r="K50" s="363"/>
      <c r="L50" s="363">
        <f>+(H50/F50)*E50</f>
        <v>3.3333333333333333E-2</v>
      </c>
      <c r="M50" s="358"/>
      <c r="N50" s="651">
        <v>0</v>
      </c>
      <c r="O50" s="359">
        <v>0</v>
      </c>
      <c r="P50" s="359">
        <v>5</v>
      </c>
      <c r="Q50" s="359">
        <v>0</v>
      </c>
      <c r="R50" s="359">
        <v>0</v>
      </c>
      <c r="S50" s="721">
        <f>+N50+O50+P50+Q50+R50</f>
        <v>5</v>
      </c>
      <c r="T50" s="358">
        <f>+S50+M50</f>
        <v>5</v>
      </c>
      <c r="U50" s="360"/>
      <c r="V50" s="361">
        <v>1</v>
      </c>
      <c r="W50" s="361"/>
      <c r="X50" s="361">
        <f>+V50*E50</f>
        <v>0.5</v>
      </c>
      <c r="Y50" s="361"/>
      <c r="Z50" s="361">
        <f>+T50/F50</f>
        <v>0.33333333333333331</v>
      </c>
      <c r="AA50" s="361">
        <f>+Y50*E50</f>
        <v>0</v>
      </c>
      <c r="AB50" s="361">
        <f>+Z50*E50</f>
        <v>0.16666666666666666</v>
      </c>
      <c r="AC50" s="648" t="s">
        <v>1850</v>
      </c>
      <c r="AD50" s="650" t="s">
        <v>1902</v>
      </c>
      <c r="AE50" s="650" t="s">
        <v>2272</v>
      </c>
      <c r="AF50" s="1087" t="s">
        <v>2297</v>
      </c>
      <c r="AG50" s="1087" t="s">
        <v>2412</v>
      </c>
      <c r="AH50" s="1087" t="s">
        <v>2447</v>
      </c>
      <c r="AI50" s="677" t="s">
        <v>2564</v>
      </c>
    </row>
    <row r="51" spans="1:35" ht="122.4" customHeight="1" thickBot="1" x14ac:dyDescent="0.45">
      <c r="A51" s="344"/>
      <c r="B51" s="1229" t="s">
        <v>430</v>
      </c>
      <c r="C51" s="1204" t="s">
        <v>431</v>
      </c>
      <c r="D51" s="394" t="s">
        <v>357</v>
      </c>
      <c r="E51" s="352">
        <v>0.5</v>
      </c>
      <c r="F51" s="353">
        <v>15</v>
      </c>
      <c r="G51" s="372"/>
      <c r="H51" s="373">
        <v>1</v>
      </c>
      <c r="I51" s="362"/>
      <c r="J51" s="362">
        <f t="shared" ref="J51:J90" si="23">+H51/F51</f>
        <v>6.6666666666666666E-2</v>
      </c>
      <c r="K51" s="363"/>
      <c r="L51" s="363">
        <f t="shared" ref="L51:L90" si="24">+(H51/F51)*E51</f>
        <v>3.3333333333333333E-2</v>
      </c>
      <c r="M51" s="358"/>
      <c r="N51" s="651">
        <v>0</v>
      </c>
      <c r="O51" s="359">
        <v>0</v>
      </c>
      <c r="P51" s="359">
        <v>5</v>
      </c>
      <c r="Q51" s="359">
        <v>0</v>
      </c>
      <c r="R51" s="359">
        <v>0</v>
      </c>
      <c r="S51" s="721">
        <f>+N51+O51+P51+Q51+R51</f>
        <v>5</v>
      </c>
      <c r="T51" s="358">
        <f>+S51+M51</f>
        <v>5</v>
      </c>
      <c r="U51" s="360"/>
      <c r="V51" s="361">
        <v>1</v>
      </c>
      <c r="W51" s="361"/>
      <c r="X51" s="361">
        <f>+V51*E51</f>
        <v>0.5</v>
      </c>
      <c r="Y51" s="361"/>
      <c r="Z51" s="361">
        <f>+T51/F51</f>
        <v>0.33333333333333331</v>
      </c>
      <c r="AA51" s="361">
        <f>+Y51*E51</f>
        <v>0</v>
      </c>
      <c r="AB51" s="361">
        <f>+Z51*E51</f>
        <v>0.16666666666666666</v>
      </c>
      <c r="AC51" s="648" t="s">
        <v>1850</v>
      </c>
      <c r="AD51" s="650" t="s">
        <v>1902</v>
      </c>
      <c r="AE51" s="650" t="s">
        <v>2272</v>
      </c>
      <c r="AF51" s="1087" t="s">
        <v>2297</v>
      </c>
      <c r="AG51" s="1087" t="s">
        <v>2412</v>
      </c>
      <c r="AH51" s="1087" t="s">
        <v>2447</v>
      </c>
      <c r="AI51" s="677" t="s">
        <v>2564</v>
      </c>
    </row>
    <row r="52" spans="1:35" ht="122.4" customHeight="1" thickBot="1" x14ac:dyDescent="0.55000000000000004">
      <c r="A52" s="344"/>
      <c r="B52" s="1308" t="s">
        <v>1649</v>
      </c>
      <c r="C52" s="1310"/>
      <c r="D52" s="394"/>
      <c r="E52" s="349">
        <v>0.02</v>
      </c>
      <c r="F52" s="367"/>
      <c r="G52" s="368"/>
      <c r="H52" s="350"/>
      <c r="I52" s="369">
        <f>+AVERAGE(I53:I55)</f>
        <v>0.20288161993769471</v>
      </c>
      <c r="J52" s="369">
        <f>+AVERAGE(J53:J55)</f>
        <v>0.21845794392523366</v>
      </c>
      <c r="K52" s="370">
        <f>+K53+K54+K55</f>
        <v>0.18177570093457943</v>
      </c>
      <c r="L52" s="370">
        <f>+L53+L54+L55</f>
        <v>0.19813084112149532</v>
      </c>
      <c r="M52" s="358"/>
      <c r="N52" s="652"/>
      <c r="O52" s="371"/>
      <c r="P52" s="371"/>
      <c r="Q52" s="371"/>
      <c r="R52" s="1178"/>
      <c r="S52" s="371"/>
      <c r="T52" s="371"/>
      <c r="U52" s="579">
        <f>+AVERAGE(U53:U55)</f>
        <v>1</v>
      </c>
      <c r="V52" s="836">
        <f>+AVERAGE(V53:V55)</f>
        <v>0.98888888888888893</v>
      </c>
      <c r="W52" s="392">
        <f>+(W53+W54+W55)*E52</f>
        <v>0.02</v>
      </c>
      <c r="X52" s="392">
        <f>+(X53+X54+X55)*E52</f>
        <v>1.9766666666666668E-2</v>
      </c>
      <c r="Y52" s="351">
        <f>+AVERAGE(Y53:Y55)</f>
        <v>0.38465732087227411</v>
      </c>
      <c r="Z52" s="351">
        <f>+AVERAGE(Z53:Z55)</f>
        <v>0.77749999999999997</v>
      </c>
      <c r="AA52" s="351">
        <f>+(AA53+AA54+AA55)*E52</f>
        <v>7.6028037383177559E-3</v>
      </c>
      <c r="AB52" s="351">
        <f>+(AB53+AB54+AB55)</f>
        <v>0.84124999999999994</v>
      </c>
      <c r="AC52" s="764"/>
      <c r="AD52" s="350"/>
      <c r="AE52" s="350"/>
      <c r="AF52" s="350"/>
      <c r="AG52" s="350"/>
      <c r="AH52" s="1088"/>
      <c r="AI52" s="1085"/>
    </row>
    <row r="53" spans="1:35" ht="122.4" customHeight="1" thickBot="1" x14ac:dyDescent="0.45">
      <c r="A53" s="344"/>
      <c r="B53" s="1206" t="s">
        <v>432</v>
      </c>
      <c r="C53" s="1206" t="s">
        <v>433</v>
      </c>
      <c r="D53" s="394" t="s">
        <v>357</v>
      </c>
      <c r="E53" s="352">
        <v>0.5</v>
      </c>
      <c r="F53" s="353">
        <v>2000</v>
      </c>
      <c r="G53" s="372">
        <v>250</v>
      </c>
      <c r="H53" s="373">
        <v>250</v>
      </c>
      <c r="I53" s="362">
        <f>+G53/F53</f>
        <v>0.125</v>
      </c>
      <c r="J53" s="362">
        <f t="shared" si="23"/>
        <v>0.125</v>
      </c>
      <c r="K53" s="363">
        <f>+(G53/F53)*E53</f>
        <v>6.25E-2</v>
      </c>
      <c r="L53" s="363">
        <f t="shared" si="24"/>
        <v>6.25E-2</v>
      </c>
      <c r="M53" s="358">
        <v>350</v>
      </c>
      <c r="N53" s="651">
        <v>0</v>
      </c>
      <c r="O53" s="359">
        <v>723</v>
      </c>
      <c r="P53" s="359">
        <v>274</v>
      </c>
      <c r="Q53" s="359">
        <v>318</v>
      </c>
      <c r="R53" s="359">
        <v>0</v>
      </c>
      <c r="S53" s="721">
        <f>+N53+O53+P53+Q53+R53</f>
        <v>1315</v>
      </c>
      <c r="T53" s="358">
        <f>+S53+M53</f>
        <v>1665</v>
      </c>
      <c r="U53" s="360">
        <v>1</v>
      </c>
      <c r="V53" s="361">
        <v>1</v>
      </c>
      <c r="W53" s="361">
        <f>+U53*E53</f>
        <v>0.5</v>
      </c>
      <c r="X53" s="361">
        <f>+V53*E53</f>
        <v>0.5</v>
      </c>
      <c r="Y53" s="361">
        <f>+M53/F53</f>
        <v>0.17499999999999999</v>
      </c>
      <c r="Z53" s="361">
        <f>+T53/F53</f>
        <v>0.83250000000000002</v>
      </c>
      <c r="AA53" s="361">
        <f>+Y53*E53</f>
        <v>8.7499999999999994E-2</v>
      </c>
      <c r="AB53" s="361">
        <f>+Z53*E53</f>
        <v>0.41625000000000001</v>
      </c>
      <c r="AC53" s="648" t="s">
        <v>1850</v>
      </c>
      <c r="AD53" s="650" t="s">
        <v>1902</v>
      </c>
      <c r="AE53" s="650" t="s">
        <v>2272</v>
      </c>
      <c r="AF53" s="1087" t="s">
        <v>2297</v>
      </c>
      <c r="AG53" s="1087" t="s">
        <v>2412</v>
      </c>
      <c r="AH53" s="1087" t="s">
        <v>2447</v>
      </c>
      <c r="AI53" s="677" t="s">
        <v>2564</v>
      </c>
    </row>
    <row r="54" spans="1:35" ht="122.4" customHeight="1" thickBot="1" x14ac:dyDescent="0.45">
      <c r="A54" s="344"/>
      <c r="B54" s="1206" t="s">
        <v>434</v>
      </c>
      <c r="C54" s="1195" t="s">
        <v>435</v>
      </c>
      <c r="D54" s="394" t="s">
        <v>357</v>
      </c>
      <c r="E54" s="352">
        <v>0.35</v>
      </c>
      <c r="F54" s="353">
        <v>107</v>
      </c>
      <c r="G54" s="372">
        <v>25</v>
      </c>
      <c r="H54" s="373">
        <v>30</v>
      </c>
      <c r="I54" s="362">
        <f>+G54/F54</f>
        <v>0.23364485981308411</v>
      </c>
      <c r="J54" s="362">
        <f t="shared" si="23"/>
        <v>0.28037383177570091</v>
      </c>
      <c r="K54" s="363">
        <f>+(G54/F54)*E54</f>
        <v>8.1775700934579434E-2</v>
      </c>
      <c r="L54" s="363">
        <f t="shared" si="24"/>
        <v>9.813084112149531E-2</v>
      </c>
      <c r="M54" s="358">
        <v>78</v>
      </c>
      <c r="N54" s="651">
        <v>0</v>
      </c>
      <c r="O54" s="359">
        <v>15</v>
      </c>
      <c r="P54" s="359">
        <v>10</v>
      </c>
      <c r="Q54" s="359">
        <v>0</v>
      </c>
      <c r="R54" s="359">
        <v>4</v>
      </c>
      <c r="S54" s="721">
        <f t="shared" ref="S54:S55" si="25">+N54+O54+P54+Q54+R54</f>
        <v>29</v>
      </c>
      <c r="T54" s="358">
        <f>+S54+M54</f>
        <v>107</v>
      </c>
      <c r="U54" s="360">
        <v>1</v>
      </c>
      <c r="V54" s="361">
        <f>+S54/H54</f>
        <v>0.96666666666666667</v>
      </c>
      <c r="W54" s="361">
        <f>+U54*E54</f>
        <v>0.35</v>
      </c>
      <c r="X54" s="361">
        <f>+V54*E54</f>
        <v>0.33833333333333332</v>
      </c>
      <c r="Y54" s="361">
        <f>+M54/F54</f>
        <v>0.7289719626168224</v>
      </c>
      <c r="Z54" s="361">
        <f>+T54/F54</f>
        <v>1</v>
      </c>
      <c r="AA54" s="361">
        <f>+Y54*E54</f>
        <v>0.2551401869158878</v>
      </c>
      <c r="AB54" s="361">
        <f>+Z54*E54</f>
        <v>0.35</v>
      </c>
      <c r="AC54" s="648" t="s">
        <v>1850</v>
      </c>
      <c r="AD54" s="650" t="s">
        <v>1902</v>
      </c>
      <c r="AE54" s="650" t="s">
        <v>2272</v>
      </c>
      <c r="AF54" s="1087" t="s">
        <v>2297</v>
      </c>
      <c r="AG54" s="1087" t="s">
        <v>2412</v>
      </c>
      <c r="AH54" s="1087" t="s">
        <v>2447</v>
      </c>
      <c r="AI54" s="677" t="s">
        <v>2564</v>
      </c>
    </row>
    <row r="55" spans="1:35" ht="122.4" customHeight="1" thickBot="1" x14ac:dyDescent="0.45">
      <c r="A55" s="344"/>
      <c r="B55" s="1206" t="s">
        <v>436</v>
      </c>
      <c r="C55" s="1195" t="s">
        <v>437</v>
      </c>
      <c r="D55" s="394" t="s">
        <v>357</v>
      </c>
      <c r="E55" s="352">
        <v>0.15</v>
      </c>
      <c r="F55" s="353">
        <v>4</v>
      </c>
      <c r="G55" s="372">
        <v>1</v>
      </c>
      <c r="H55" s="373">
        <v>1</v>
      </c>
      <c r="I55" s="362">
        <f>+G55/F55</f>
        <v>0.25</v>
      </c>
      <c r="J55" s="362">
        <f t="shared" si="23"/>
        <v>0.25</v>
      </c>
      <c r="K55" s="363">
        <f>+(G55/F55)*E55</f>
        <v>3.7499999999999999E-2</v>
      </c>
      <c r="L55" s="363">
        <f t="shared" si="24"/>
        <v>3.7499999999999999E-2</v>
      </c>
      <c r="M55" s="358">
        <v>1</v>
      </c>
      <c r="N55" s="651">
        <v>0</v>
      </c>
      <c r="O55" s="359">
        <v>0</v>
      </c>
      <c r="P55" s="359">
        <v>0</v>
      </c>
      <c r="Q55" s="359">
        <v>1</v>
      </c>
      <c r="R55" s="359">
        <v>0</v>
      </c>
      <c r="S55" s="721">
        <f t="shared" si="25"/>
        <v>1</v>
      </c>
      <c r="T55" s="358">
        <f>+S55+M55</f>
        <v>2</v>
      </c>
      <c r="U55" s="360">
        <f>+(M55/G55)</f>
        <v>1</v>
      </c>
      <c r="V55" s="361">
        <f>+S55/H55</f>
        <v>1</v>
      </c>
      <c r="W55" s="361">
        <f>+U55*E55</f>
        <v>0.15</v>
      </c>
      <c r="X55" s="361">
        <f>+V55*E55</f>
        <v>0.15</v>
      </c>
      <c r="Y55" s="361">
        <f>+M55/F55</f>
        <v>0.25</v>
      </c>
      <c r="Z55" s="361">
        <f>+T55/F55</f>
        <v>0.5</v>
      </c>
      <c r="AA55" s="361">
        <f>+Y55*E55</f>
        <v>3.7499999999999999E-2</v>
      </c>
      <c r="AB55" s="361">
        <f>+Z55*E55</f>
        <v>7.4999999999999997E-2</v>
      </c>
      <c r="AC55" s="648" t="s">
        <v>1850</v>
      </c>
      <c r="AD55" s="650" t="s">
        <v>1902</v>
      </c>
      <c r="AE55" s="650" t="s">
        <v>2272</v>
      </c>
      <c r="AF55" s="1087" t="s">
        <v>2297</v>
      </c>
      <c r="AG55" s="1087" t="s">
        <v>2412</v>
      </c>
      <c r="AH55" s="1087" t="s">
        <v>2447</v>
      </c>
      <c r="AI55" s="677" t="s">
        <v>2564</v>
      </c>
    </row>
    <row r="56" spans="1:35" ht="122.4" customHeight="1" thickBot="1" x14ac:dyDescent="0.55000000000000004">
      <c r="A56" s="344"/>
      <c r="B56" s="1308" t="s">
        <v>1650</v>
      </c>
      <c r="C56" s="1310"/>
      <c r="D56" s="394"/>
      <c r="E56" s="349">
        <v>0.02</v>
      </c>
      <c r="F56" s="367"/>
      <c r="G56" s="368"/>
      <c r="H56" s="350"/>
      <c r="I56" s="369">
        <f>+AVERAGE(I57:I59)</f>
        <v>0.19781931464174454</v>
      </c>
      <c r="J56" s="369">
        <f>+AVERAGE(J57:J59)</f>
        <v>0.12694704049844238</v>
      </c>
      <c r="K56" s="370">
        <f>+K57+K58+K59</f>
        <v>0.17172897196261683</v>
      </c>
      <c r="L56" s="370">
        <f>+L57+L58+L59</f>
        <v>0.16542056074766354</v>
      </c>
      <c r="M56" s="358"/>
      <c r="N56" s="371"/>
      <c r="O56" s="371"/>
      <c r="P56" s="371"/>
      <c r="Q56" s="371"/>
      <c r="R56" s="1178"/>
      <c r="S56" s="371"/>
      <c r="T56" s="371"/>
      <c r="U56" s="579">
        <f>+AVERAGE(U57:U59)</f>
        <v>0.66666666666666663</v>
      </c>
      <c r="V56" s="579">
        <f>+AVERAGE(V57:V59)</f>
        <v>1</v>
      </c>
      <c r="W56" s="392">
        <f>+(W57+W58+W59)*E56</f>
        <v>1.8000000000000002E-2</v>
      </c>
      <c r="X56" s="392">
        <f>+(X57+X58+X59)*E56</f>
        <v>1.8000000000000002E-2</v>
      </c>
      <c r="Y56" s="351">
        <f>+AVERAGE(Y57:Y59)</f>
        <v>0.11448598130841121</v>
      </c>
      <c r="Z56" s="351">
        <f>+AVERAGE(Z57:Z59)</f>
        <v>0.37258566978193147</v>
      </c>
      <c r="AA56" s="351">
        <f>+(AA57+AA58+AA59)*E56</f>
        <v>2.9345794392523369E-3</v>
      </c>
      <c r="AB56" s="351">
        <f>+(AB57+AB58+AB59)</f>
        <v>0.47887850467289728</v>
      </c>
      <c r="AC56" s="764"/>
      <c r="AD56" s="350"/>
      <c r="AE56" s="350"/>
      <c r="AF56" s="350"/>
      <c r="AG56" s="350"/>
      <c r="AH56" s="1088"/>
      <c r="AI56" s="1085"/>
    </row>
    <row r="57" spans="1:35" ht="122.4" customHeight="1" thickBot="1" x14ac:dyDescent="0.45">
      <c r="A57" s="344"/>
      <c r="B57" s="1206" t="s">
        <v>438</v>
      </c>
      <c r="C57" s="1195" t="s">
        <v>439</v>
      </c>
      <c r="D57" s="394" t="s">
        <v>357</v>
      </c>
      <c r="E57" s="352">
        <v>0.5</v>
      </c>
      <c r="F57" s="353">
        <v>107</v>
      </c>
      <c r="G57" s="372">
        <v>10</v>
      </c>
      <c r="H57" s="373">
        <v>14</v>
      </c>
      <c r="I57" s="362">
        <f>+G57/F57</f>
        <v>9.3457943925233641E-2</v>
      </c>
      <c r="J57" s="362">
        <f t="shared" si="23"/>
        <v>0.13084112149532709</v>
      </c>
      <c r="K57" s="363">
        <f>+(G57/F57)*E57</f>
        <v>4.6728971962616821E-2</v>
      </c>
      <c r="L57" s="363">
        <f t="shared" si="24"/>
        <v>6.5420560747663545E-2</v>
      </c>
      <c r="M57" s="358">
        <v>10</v>
      </c>
      <c r="N57" s="365">
        <v>4</v>
      </c>
      <c r="O57" s="359">
        <v>10</v>
      </c>
      <c r="P57" s="359">
        <v>10</v>
      </c>
      <c r="Q57" s="359">
        <v>0</v>
      </c>
      <c r="R57" s="359">
        <v>0</v>
      </c>
      <c r="S57" s="721">
        <f>+N57+O57+P57+Q57+R57</f>
        <v>24</v>
      </c>
      <c r="T57" s="358">
        <f>+S57+M57</f>
        <v>34</v>
      </c>
      <c r="U57" s="360">
        <f>+(M57/G57)</f>
        <v>1</v>
      </c>
      <c r="V57" s="361">
        <v>1</v>
      </c>
      <c r="W57" s="361">
        <f>+U57*E57</f>
        <v>0.5</v>
      </c>
      <c r="X57" s="361">
        <f>+V57*E57</f>
        <v>0.5</v>
      </c>
      <c r="Y57" s="361">
        <f>+M57/F57</f>
        <v>9.3457943925233641E-2</v>
      </c>
      <c r="Z57" s="361">
        <f>+T57/F57</f>
        <v>0.31775700934579437</v>
      </c>
      <c r="AA57" s="361">
        <f>+Y57*E57</f>
        <v>4.6728971962616821E-2</v>
      </c>
      <c r="AB57" s="361">
        <f>+Z57*E57</f>
        <v>0.15887850467289719</v>
      </c>
      <c r="AC57" s="648" t="s">
        <v>1850</v>
      </c>
      <c r="AD57" s="650" t="s">
        <v>1902</v>
      </c>
      <c r="AE57" s="650" t="s">
        <v>2272</v>
      </c>
      <c r="AF57" s="1087" t="s">
        <v>2297</v>
      </c>
      <c r="AG57" s="1087" t="s">
        <v>2412</v>
      </c>
      <c r="AH57" s="1087" t="s">
        <v>2447</v>
      </c>
      <c r="AI57" s="677" t="s">
        <v>2564</v>
      </c>
    </row>
    <row r="58" spans="1:35" ht="122.4" customHeight="1" thickBot="1" x14ac:dyDescent="0.45">
      <c r="A58" s="344"/>
      <c r="B58" s="1206" t="s">
        <v>440</v>
      </c>
      <c r="C58" s="1195" t="s">
        <v>441</v>
      </c>
      <c r="D58" s="394" t="s">
        <v>357</v>
      </c>
      <c r="E58" s="352">
        <v>0.1</v>
      </c>
      <c r="F58" s="353">
        <v>1</v>
      </c>
      <c r="G58" s="372">
        <v>0.25</v>
      </c>
      <c r="H58" s="373">
        <v>0</v>
      </c>
      <c r="I58" s="362">
        <f>+G58/F58</f>
        <v>0.25</v>
      </c>
      <c r="J58" s="362">
        <f t="shared" si="23"/>
        <v>0</v>
      </c>
      <c r="K58" s="363">
        <f>+(G58/F58)*E58</f>
        <v>2.5000000000000001E-2</v>
      </c>
      <c r="L58" s="363">
        <f t="shared" si="24"/>
        <v>0</v>
      </c>
      <c r="M58" s="358">
        <v>0</v>
      </c>
      <c r="N58" s="365"/>
      <c r="O58" s="359"/>
      <c r="P58" s="359"/>
      <c r="Q58" s="359"/>
      <c r="R58" s="359"/>
      <c r="S58" s="721">
        <f t="shared" ref="S58:S59" si="26">+N58+O58+P58+Q58+R58</f>
        <v>0</v>
      </c>
      <c r="T58" s="358">
        <f>+S58+M58</f>
        <v>0</v>
      </c>
      <c r="U58" s="360">
        <f>+(M58/G58)</f>
        <v>0</v>
      </c>
      <c r="V58" s="361"/>
      <c r="W58" s="361">
        <f>+U58*E58</f>
        <v>0</v>
      </c>
      <c r="X58" s="361">
        <f>+V58*E58</f>
        <v>0</v>
      </c>
      <c r="Y58" s="361">
        <f>+M58/F58</f>
        <v>0</v>
      </c>
      <c r="Z58" s="361">
        <f>+T58/F58</f>
        <v>0</v>
      </c>
      <c r="AA58" s="361">
        <f>+Y58*E58</f>
        <v>0</v>
      </c>
      <c r="AB58" s="361">
        <f>+Z58*E58</f>
        <v>0</v>
      </c>
      <c r="AC58" s="648" t="s">
        <v>1850</v>
      </c>
      <c r="AD58" s="649" t="s">
        <v>1912</v>
      </c>
      <c r="AE58" s="650" t="s">
        <v>2272</v>
      </c>
      <c r="AF58" s="1087" t="s">
        <v>2297</v>
      </c>
      <c r="AG58" s="1087" t="s">
        <v>2412</v>
      </c>
      <c r="AH58" s="1087" t="s">
        <v>2447</v>
      </c>
      <c r="AI58" s="677" t="s">
        <v>2564</v>
      </c>
    </row>
    <row r="59" spans="1:35" ht="122.4" customHeight="1" thickBot="1" x14ac:dyDescent="0.45">
      <c r="A59" s="344"/>
      <c r="B59" s="1206" t="s">
        <v>442</v>
      </c>
      <c r="C59" s="1195" t="s">
        <v>443</v>
      </c>
      <c r="D59" s="394" t="s">
        <v>357</v>
      </c>
      <c r="E59" s="352">
        <v>0.4</v>
      </c>
      <c r="F59" s="353">
        <v>40</v>
      </c>
      <c r="G59" s="372">
        <v>10</v>
      </c>
      <c r="H59" s="373">
        <v>10</v>
      </c>
      <c r="I59" s="362">
        <f>+G59/F59</f>
        <v>0.25</v>
      </c>
      <c r="J59" s="362">
        <f t="shared" si="23"/>
        <v>0.25</v>
      </c>
      <c r="K59" s="363">
        <f>+(G59/F59)*E59</f>
        <v>0.1</v>
      </c>
      <c r="L59" s="363">
        <f t="shared" si="24"/>
        <v>0.1</v>
      </c>
      <c r="M59" s="358">
        <v>10</v>
      </c>
      <c r="N59" s="365">
        <v>3</v>
      </c>
      <c r="O59" s="359">
        <v>9</v>
      </c>
      <c r="P59" s="359">
        <v>10</v>
      </c>
      <c r="Q59" s="359"/>
      <c r="R59" s="359">
        <v>0</v>
      </c>
      <c r="S59" s="721">
        <f t="shared" si="26"/>
        <v>22</v>
      </c>
      <c r="T59" s="358">
        <f>+S59+M59</f>
        <v>32</v>
      </c>
      <c r="U59" s="360">
        <f>+(M59/G59)</f>
        <v>1</v>
      </c>
      <c r="V59" s="361">
        <v>1</v>
      </c>
      <c r="W59" s="361">
        <f>+U59*E59</f>
        <v>0.4</v>
      </c>
      <c r="X59" s="361">
        <f>+V59*E59</f>
        <v>0.4</v>
      </c>
      <c r="Y59" s="361">
        <f>+M59/F59</f>
        <v>0.25</v>
      </c>
      <c r="Z59" s="361">
        <f>+T59/F59</f>
        <v>0.8</v>
      </c>
      <c r="AA59" s="361">
        <f>+Y59*E59</f>
        <v>0.1</v>
      </c>
      <c r="AB59" s="361">
        <f>+Z59*E59</f>
        <v>0.32000000000000006</v>
      </c>
      <c r="AC59" s="648" t="s">
        <v>1850</v>
      </c>
      <c r="AD59" s="650" t="s">
        <v>1902</v>
      </c>
      <c r="AE59" s="650" t="s">
        <v>2272</v>
      </c>
      <c r="AF59" s="1087" t="s">
        <v>2297</v>
      </c>
      <c r="AG59" s="1087" t="s">
        <v>2412</v>
      </c>
      <c r="AH59" s="1087" t="s">
        <v>2447</v>
      </c>
      <c r="AI59" s="677" t="s">
        <v>2564</v>
      </c>
    </row>
    <row r="60" spans="1:35" ht="122.4" customHeight="1" thickBot="1" x14ac:dyDescent="0.55000000000000004">
      <c r="A60" s="344"/>
      <c r="B60" s="1308" t="s">
        <v>1651</v>
      </c>
      <c r="C60" s="1310"/>
      <c r="D60" s="394"/>
      <c r="E60" s="349">
        <v>0.1</v>
      </c>
      <c r="F60" s="353"/>
      <c r="G60" s="368"/>
      <c r="H60" s="350"/>
      <c r="I60" s="369">
        <f>+AVERAGE(I61:I67)</f>
        <v>0.21443137254901962</v>
      </c>
      <c r="J60" s="369">
        <f>+AVERAGE(J61:J67)</f>
        <v>0.2941830065359477</v>
      </c>
      <c r="K60" s="370">
        <f>+K61+K62+K63+K64+K65+K66+K67</f>
        <v>0.15490686274509805</v>
      </c>
      <c r="L60" s="370">
        <f>+L61+L62+L63+L64+L65+L66+L67</f>
        <v>0.28919771241830067</v>
      </c>
      <c r="M60" s="358"/>
      <c r="N60" s="371"/>
      <c r="O60" s="371"/>
      <c r="P60" s="371"/>
      <c r="Q60" s="371"/>
      <c r="R60" s="1178"/>
      <c r="S60" s="371"/>
      <c r="T60" s="371"/>
      <c r="U60" s="579">
        <f>+AVERAGE(U61:U67)</f>
        <v>0.91082380952380948</v>
      </c>
      <c r="V60" s="579">
        <f>+AVERAGE(V61:V67)</f>
        <v>0.51142619542619538</v>
      </c>
      <c r="W60" s="392">
        <f>+(W61+W62+W63+W64+W65+W66+W67)*E60</f>
        <v>7.9564761904761902E-2</v>
      </c>
      <c r="X60" s="392">
        <f>+(X61+X62+X63+X64+X65+X66+X67)*E60</f>
        <v>5.2507442827442831E-2</v>
      </c>
      <c r="Y60" s="351">
        <f>+AVERAGE(Y61:Y67)</f>
        <v>0.19200359477124182</v>
      </c>
      <c r="Z60" s="351">
        <f>+AVERAGE(Z61:Z67)</f>
        <v>0.31358053221288518</v>
      </c>
      <c r="AA60" s="351">
        <f>+(AA61+AA62+AA63+AA64+AA65+AA66+AA67)*E60</f>
        <v>1.4392630718954247E-2</v>
      </c>
      <c r="AB60" s="351">
        <f>+(AB61+AB62+AB63+AB64+AB65+AB66+AB67)</f>
        <v>0.30288872549019608</v>
      </c>
      <c r="AC60" s="764"/>
      <c r="AD60" s="350"/>
      <c r="AE60" s="350"/>
      <c r="AF60" s="350"/>
      <c r="AG60" s="350"/>
      <c r="AH60" s="1088"/>
      <c r="AI60" s="1085"/>
    </row>
    <row r="61" spans="1:35" ht="122.4" customHeight="1" thickBot="1" x14ac:dyDescent="0.45">
      <c r="A61" s="344"/>
      <c r="B61" s="1206" t="s">
        <v>444</v>
      </c>
      <c r="C61" s="1195" t="s">
        <v>445</v>
      </c>
      <c r="D61" s="394" t="s">
        <v>357</v>
      </c>
      <c r="E61" s="352">
        <v>0.4</v>
      </c>
      <c r="F61" s="353">
        <v>9000</v>
      </c>
      <c r="G61" s="372">
        <v>1200</v>
      </c>
      <c r="H61" s="373">
        <v>2600</v>
      </c>
      <c r="I61" s="362">
        <f>+G61/F61</f>
        <v>0.13333333333333333</v>
      </c>
      <c r="J61" s="362">
        <f t="shared" si="23"/>
        <v>0.28888888888888886</v>
      </c>
      <c r="K61" s="363">
        <f>+(G61/F61)*E61</f>
        <v>5.3333333333333337E-2</v>
      </c>
      <c r="L61" s="363">
        <f t="shared" si="24"/>
        <v>0.11555555555555555</v>
      </c>
      <c r="M61" s="358">
        <v>1123</v>
      </c>
      <c r="N61" s="651">
        <v>0</v>
      </c>
      <c r="O61" s="651">
        <v>468</v>
      </c>
      <c r="P61" s="359">
        <v>363</v>
      </c>
      <c r="Q61" s="359">
        <v>0</v>
      </c>
      <c r="R61" s="359">
        <v>605</v>
      </c>
      <c r="S61" s="721">
        <f>+N61+O61+P61+Q61+R61</f>
        <v>1436</v>
      </c>
      <c r="T61" s="358">
        <f t="shared" ref="T61:T67" si="27">+S61+M61</f>
        <v>2559</v>
      </c>
      <c r="U61" s="360">
        <f>+(M61/G61)</f>
        <v>0.93583333333333329</v>
      </c>
      <c r="V61" s="361">
        <f>+S61/H61</f>
        <v>0.55230769230769228</v>
      </c>
      <c r="W61" s="361">
        <f>+U61*E61</f>
        <v>0.37433333333333335</v>
      </c>
      <c r="X61" s="361">
        <f t="shared" ref="X61:X67" si="28">+V61*E61</f>
        <v>0.22092307692307692</v>
      </c>
      <c r="Y61" s="361">
        <f>+M61/F61</f>
        <v>0.12477777777777778</v>
      </c>
      <c r="Z61" s="361">
        <f>+T61/F61</f>
        <v>0.28433333333333333</v>
      </c>
      <c r="AA61" s="361">
        <f>+Y61*E61</f>
        <v>4.9911111111111114E-2</v>
      </c>
      <c r="AB61" s="361">
        <f t="shared" ref="AB61:AB67" si="29">+Z61*E61</f>
        <v>0.11373333333333334</v>
      </c>
      <c r="AC61" s="648" t="s">
        <v>1850</v>
      </c>
      <c r="AD61" s="650" t="s">
        <v>1902</v>
      </c>
      <c r="AE61" s="650" t="s">
        <v>2272</v>
      </c>
      <c r="AF61" s="1087" t="s">
        <v>2297</v>
      </c>
      <c r="AG61" s="1087" t="s">
        <v>2412</v>
      </c>
      <c r="AH61" s="1087" t="s">
        <v>2447</v>
      </c>
      <c r="AI61" s="677" t="s">
        <v>2564</v>
      </c>
    </row>
    <row r="62" spans="1:35" ht="172.2" customHeight="1" thickBot="1" x14ac:dyDescent="0.45">
      <c r="A62" s="344"/>
      <c r="B62" s="1206" t="s">
        <v>446</v>
      </c>
      <c r="C62" s="1195" t="s">
        <v>447</v>
      </c>
      <c r="D62" s="394" t="s">
        <v>357</v>
      </c>
      <c r="E62" s="352">
        <v>0.15</v>
      </c>
      <c r="F62" s="353">
        <v>544</v>
      </c>
      <c r="G62" s="372">
        <v>100</v>
      </c>
      <c r="H62" s="373">
        <v>148</v>
      </c>
      <c r="I62" s="362">
        <f>+G62/F62</f>
        <v>0.18382352941176472</v>
      </c>
      <c r="J62" s="362">
        <f t="shared" si="23"/>
        <v>0.27205882352941174</v>
      </c>
      <c r="K62" s="363">
        <f>+(G62/F62)*E62</f>
        <v>2.7573529411764709E-2</v>
      </c>
      <c r="L62" s="363">
        <f t="shared" si="24"/>
        <v>4.0808823529411759E-2</v>
      </c>
      <c r="M62" s="358">
        <v>100</v>
      </c>
      <c r="N62" s="651">
        <v>0</v>
      </c>
      <c r="O62" s="651">
        <v>0</v>
      </c>
      <c r="P62" s="359">
        <v>100</v>
      </c>
      <c r="Q62" s="359">
        <v>0</v>
      </c>
      <c r="R62" s="359">
        <v>0</v>
      </c>
      <c r="S62" s="721">
        <f t="shared" ref="S62:S67" si="30">+N62+O62+P62+Q62+R62</f>
        <v>100</v>
      </c>
      <c r="T62" s="358">
        <f t="shared" si="27"/>
        <v>200</v>
      </c>
      <c r="U62" s="360">
        <f>+(M62/G62)</f>
        <v>1</v>
      </c>
      <c r="V62" s="361">
        <f>+S62/H62</f>
        <v>0.67567567567567566</v>
      </c>
      <c r="W62" s="361">
        <f>+U62*E62</f>
        <v>0.15</v>
      </c>
      <c r="X62" s="361">
        <f t="shared" si="28"/>
        <v>0.10135135135135134</v>
      </c>
      <c r="Y62" s="361">
        <f>+M62/F62</f>
        <v>0.18382352941176472</v>
      </c>
      <c r="Z62" s="361">
        <f>+T62/F62</f>
        <v>0.36764705882352944</v>
      </c>
      <c r="AA62" s="361">
        <f>+Y62*E62</f>
        <v>2.7573529411764709E-2</v>
      </c>
      <c r="AB62" s="361">
        <f t="shared" si="29"/>
        <v>5.5147058823529417E-2</v>
      </c>
      <c r="AC62" s="648" t="s">
        <v>1850</v>
      </c>
      <c r="AD62" s="650" t="s">
        <v>1902</v>
      </c>
      <c r="AE62" s="650" t="s">
        <v>2272</v>
      </c>
      <c r="AF62" s="1087" t="s">
        <v>2297</v>
      </c>
      <c r="AG62" s="1087" t="s">
        <v>2412</v>
      </c>
      <c r="AH62" s="1087" t="s">
        <v>2447</v>
      </c>
      <c r="AI62" s="677" t="s">
        <v>2564</v>
      </c>
    </row>
    <row r="63" spans="1:35" ht="122.4" customHeight="1" thickBot="1" x14ac:dyDescent="0.45">
      <c r="A63" s="344"/>
      <c r="B63" s="1206" t="s">
        <v>448</v>
      </c>
      <c r="C63" s="1195" t="s">
        <v>449</v>
      </c>
      <c r="D63" s="394" t="s">
        <v>357</v>
      </c>
      <c r="E63" s="352">
        <v>0.1</v>
      </c>
      <c r="F63" s="353">
        <v>12000</v>
      </c>
      <c r="G63" s="372">
        <v>2700</v>
      </c>
      <c r="H63" s="373">
        <v>3100</v>
      </c>
      <c r="I63" s="362">
        <f>+G63/F63</f>
        <v>0.22500000000000001</v>
      </c>
      <c r="J63" s="362">
        <f t="shared" si="23"/>
        <v>0.25833333333333336</v>
      </c>
      <c r="K63" s="363">
        <f>+(G63/F63)*E63</f>
        <v>2.2500000000000003E-2</v>
      </c>
      <c r="L63" s="363">
        <f t="shared" si="24"/>
        <v>2.5833333333333337E-2</v>
      </c>
      <c r="M63" s="358">
        <v>2705</v>
      </c>
      <c r="N63" s="651">
        <v>0</v>
      </c>
      <c r="O63" s="651">
        <v>0</v>
      </c>
      <c r="P63" s="359">
        <v>0</v>
      </c>
      <c r="Q63" s="359">
        <v>0</v>
      </c>
      <c r="R63" s="359">
        <v>3404</v>
      </c>
      <c r="S63" s="721">
        <f t="shared" si="30"/>
        <v>3404</v>
      </c>
      <c r="T63" s="358">
        <f t="shared" si="27"/>
        <v>6109</v>
      </c>
      <c r="U63" s="360">
        <v>1</v>
      </c>
      <c r="V63" s="361">
        <v>1</v>
      </c>
      <c r="W63" s="361">
        <f>+U63*E63</f>
        <v>0.1</v>
      </c>
      <c r="X63" s="361">
        <f t="shared" si="28"/>
        <v>0.1</v>
      </c>
      <c r="Y63" s="361">
        <f>+M63/F63</f>
        <v>0.22541666666666665</v>
      </c>
      <c r="Z63" s="361">
        <f>+T63/F63</f>
        <v>0.50908333333333333</v>
      </c>
      <c r="AA63" s="361">
        <f>+Y63*E63</f>
        <v>2.2541666666666668E-2</v>
      </c>
      <c r="AB63" s="361">
        <f t="shared" si="29"/>
        <v>5.0908333333333333E-2</v>
      </c>
      <c r="AC63" s="648" t="s">
        <v>1850</v>
      </c>
      <c r="AD63" s="649" t="s">
        <v>1913</v>
      </c>
      <c r="AE63" s="650" t="s">
        <v>2272</v>
      </c>
      <c r="AF63" s="1087" t="s">
        <v>2297</v>
      </c>
      <c r="AG63" s="1087" t="s">
        <v>2412</v>
      </c>
      <c r="AH63" s="1087" t="s">
        <v>2447</v>
      </c>
      <c r="AI63" s="677" t="s">
        <v>2564</v>
      </c>
    </row>
    <row r="64" spans="1:35" ht="122.4" customHeight="1" thickBot="1" x14ac:dyDescent="0.45">
      <c r="A64" s="344"/>
      <c r="B64" s="1206" t="s">
        <v>450</v>
      </c>
      <c r="C64" s="1195" t="s">
        <v>451</v>
      </c>
      <c r="D64" s="394" t="s">
        <v>357</v>
      </c>
      <c r="E64" s="352">
        <v>0.05</v>
      </c>
      <c r="F64" s="353">
        <v>25</v>
      </c>
      <c r="G64" s="372">
        <v>7</v>
      </c>
      <c r="H64" s="373">
        <v>6</v>
      </c>
      <c r="I64" s="362">
        <f>+G64/F64</f>
        <v>0.28000000000000003</v>
      </c>
      <c r="J64" s="362">
        <f t="shared" si="23"/>
        <v>0.24</v>
      </c>
      <c r="K64" s="363">
        <f>+(G64/F64)*E64</f>
        <v>1.4000000000000002E-2</v>
      </c>
      <c r="L64" s="363">
        <f t="shared" si="24"/>
        <v>1.2E-2</v>
      </c>
      <c r="M64" s="358">
        <v>5</v>
      </c>
      <c r="N64" s="651">
        <v>6</v>
      </c>
      <c r="O64" s="651">
        <v>0</v>
      </c>
      <c r="P64" s="359">
        <v>6</v>
      </c>
      <c r="Q64" s="359">
        <v>0</v>
      </c>
      <c r="R64" s="359">
        <v>1</v>
      </c>
      <c r="S64" s="721">
        <f t="shared" si="30"/>
        <v>13</v>
      </c>
      <c r="T64" s="358">
        <f t="shared" si="27"/>
        <v>18</v>
      </c>
      <c r="U64" s="360">
        <f>+(M64/G64)</f>
        <v>0.7142857142857143</v>
      </c>
      <c r="V64" s="361">
        <v>1</v>
      </c>
      <c r="W64" s="361">
        <f>+U64*E64</f>
        <v>3.5714285714285719E-2</v>
      </c>
      <c r="X64" s="361">
        <f t="shared" si="28"/>
        <v>0.05</v>
      </c>
      <c r="Y64" s="361">
        <f>+M64/F64</f>
        <v>0.2</v>
      </c>
      <c r="Z64" s="361">
        <f>+T64/F64</f>
        <v>0.72</v>
      </c>
      <c r="AA64" s="361">
        <f>+Y64*E64</f>
        <v>1.0000000000000002E-2</v>
      </c>
      <c r="AB64" s="361">
        <f t="shared" si="29"/>
        <v>3.5999999999999997E-2</v>
      </c>
      <c r="AC64" s="648" t="s">
        <v>1850</v>
      </c>
      <c r="AD64" s="650" t="s">
        <v>1902</v>
      </c>
      <c r="AE64" s="650" t="s">
        <v>2272</v>
      </c>
      <c r="AF64" s="1087" t="s">
        <v>2297</v>
      </c>
      <c r="AG64" s="1087" t="s">
        <v>2412</v>
      </c>
      <c r="AH64" s="1087" t="s">
        <v>2447</v>
      </c>
      <c r="AI64" s="677" t="s">
        <v>2564</v>
      </c>
    </row>
    <row r="65" spans="1:35" ht="122.4" customHeight="1" thickBot="1" x14ac:dyDescent="0.45">
      <c r="A65" s="344"/>
      <c r="B65" s="1206" t="s">
        <v>452</v>
      </c>
      <c r="C65" s="1195" t="s">
        <v>453</v>
      </c>
      <c r="D65" s="394" t="s">
        <v>357</v>
      </c>
      <c r="E65" s="352">
        <v>0.1</v>
      </c>
      <c r="F65" s="353">
        <v>5</v>
      </c>
      <c r="G65" s="372">
        <v>0</v>
      </c>
      <c r="H65" s="373">
        <v>2</v>
      </c>
      <c r="I65" s="362"/>
      <c r="J65" s="362">
        <f t="shared" si="23"/>
        <v>0.4</v>
      </c>
      <c r="K65" s="363"/>
      <c r="L65" s="363">
        <f t="shared" si="24"/>
        <v>4.0000000000000008E-2</v>
      </c>
      <c r="M65" s="358"/>
      <c r="N65" s="651">
        <v>0</v>
      </c>
      <c r="O65" s="651">
        <v>0</v>
      </c>
      <c r="P65" s="359">
        <v>0</v>
      </c>
      <c r="Q65" s="359">
        <v>0</v>
      </c>
      <c r="R65" s="359">
        <v>0</v>
      </c>
      <c r="S65" s="721">
        <f t="shared" si="30"/>
        <v>0</v>
      </c>
      <c r="T65" s="358">
        <f t="shared" si="27"/>
        <v>0</v>
      </c>
      <c r="U65" s="360"/>
      <c r="V65" s="361">
        <f>+S65/H65</f>
        <v>0</v>
      </c>
      <c r="W65" s="361"/>
      <c r="X65" s="361">
        <f t="shared" si="28"/>
        <v>0</v>
      </c>
      <c r="Y65" s="361"/>
      <c r="Z65" s="361">
        <v>0</v>
      </c>
      <c r="AA65" s="361"/>
      <c r="AB65" s="361">
        <f t="shared" si="29"/>
        <v>0</v>
      </c>
      <c r="AC65" s="648" t="s">
        <v>1850</v>
      </c>
      <c r="AD65" s="719" t="s">
        <v>1920</v>
      </c>
      <c r="AE65" s="650" t="s">
        <v>2272</v>
      </c>
      <c r="AF65" s="1087" t="s">
        <v>2297</v>
      </c>
      <c r="AG65" s="1087" t="s">
        <v>2412</v>
      </c>
      <c r="AH65" s="1087" t="s">
        <v>2447</v>
      </c>
      <c r="AI65" s="677" t="s">
        <v>2564</v>
      </c>
    </row>
    <row r="66" spans="1:35" ht="122.4" customHeight="1" thickBot="1" x14ac:dyDescent="0.45">
      <c r="A66" s="344"/>
      <c r="B66" s="1206" t="s">
        <v>454</v>
      </c>
      <c r="C66" s="1195" t="s">
        <v>455</v>
      </c>
      <c r="D66" s="394" t="s">
        <v>357</v>
      </c>
      <c r="E66" s="352">
        <v>0.15</v>
      </c>
      <c r="F66" s="353">
        <v>500</v>
      </c>
      <c r="G66" s="372">
        <v>125</v>
      </c>
      <c r="H66" s="373">
        <v>125</v>
      </c>
      <c r="I66" s="362">
        <f>+G66/F66</f>
        <v>0.25</v>
      </c>
      <c r="J66" s="362">
        <f t="shared" si="23"/>
        <v>0.25</v>
      </c>
      <c r="K66" s="363">
        <f>+(G66/F66)*E66</f>
        <v>3.7499999999999999E-2</v>
      </c>
      <c r="L66" s="363">
        <f t="shared" si="24"/>
        <v>3.7499999999999999E-2</v>
      </c>
      <c r="M66" s="358">
        <v>113</v>
      </c>
      <c r="N66" s="651">
        <v>0</v>
      </c>
      <c r="O66" s="651">
        <v>44</v>
      </c>
      <c r="P66" s="359">
        <v>0</v>
      </c>
      <c r="Q66" s="359">
        <v>0</v>
      </c>
      <c r="R66" s="359">
        <v>0</v>
      </c>
      <c r="S66" s="721">
        <f t="shared" si="30"/>
        <v>44</v>
      </c>
      <c r="T66" s="358">
        <f t="shared" si="27"/>
        <v>157</v>
      </c>
      <c r="U66" s="360">
        <f>+(M66/G66)</f>
        <v>0.90400000000000003</v>
      </c>
      <c r="V66" s="361">
        <f>+S66/H66</f>
        <v>0.35199999999999998</v>
      </c>
      <c r="W66" s="361">
        <f>+U66*E66</f>
        <v>0.1356</v>
      </c>
      <c r="X66" s="361">
        <f t="shared" si="28"/>
        <v>5.2799999999999993E-2</v>
      </c>
      <c r="Y66" s="361">
        <f>+M66/F66</f>
        <v>0.22600000000000001</v>
      </c>
      <c r="Z66" s="361">
        <f>+T66/F66</f>
        <v>0.314</v>
      </c>
      <c r="AA66" s="361">
        <f>+Y66*E66</f>
        <v>3.39E-2</v>
      </c>
      <c r="AB66" s="361">
        <f t="shared" si="29"/>
        <v>4.7099999999999996E-2</v>
      </c>
      <c r="AC66" s="648" t="s">
        <v>1850</v>
      </c>
      <c r="AD66" s="650" t="s">
        <v>1902</v>
      </c>
      <c r="AE66" s="650" t="s">
        <v>2272</v>
      </c>
      <c r="AF66" s="1087" t="s">
        <v>2297</v>
      </c>
      <c r="AG66" s="1087" t="s">
        <v>2412</v>
      </c>
      <c r="AH66" s="1087" t="s">
        <v>2447</v>
      </c>
      <c r="AI66" s="677" t="s">
        <v>2564</v>
      </c>
    </row>
    <row r="67" spans="1:35" ht="122.4" customHeight="1" thickBot="1" x14ac:dyDescent="0.45">
      <c r="A67" s="344"/>
      <c r="B67" s="1206" t="s">
        <v>456</v>
      </c>
      <c r="C67" s="1195" t="s">
        <v>457</v>
      </c>
      <c r="D67" s="687" t="s">
        <v>357</v>
      </c>
      <c r="E67" s="352">
        <v>0.05</v>
      </c>
      <c r="F67" s="353">
        <v>200</v>
      </c>
      <c r="G67" s="372"/>
      <c r="H67" s="373">
        <v>70</v>
      </c>
      <c r="I67" s="362"/>
      <c r="J67" s="362">
        <f t="shared" si="23"/>
        <v>0.35</v>
      </c>
      <c r="K67" s="363"/>
      <c r="L67" s="363">
        <f t="shared" si="24"/>
        <v>1.7499999999999998E-2</v>
      </c>
      <c r="M67" s="358"/>
      <c r="N67" s="651">
        <v>0</v>
      </c>
      <c r="O67" s="651">
        <v>0</v>
      </c>
      <c r="P67" s="359">
        <v>0</v>
      </c>
      <c r="Q67" s="359">
        <v>0</v>
      </c>
      <c r="R67" s="359">
        <v>0</v>
      </c>
      <c r="S67" s="721">
        <f t="shared" si="30"/>
        <v>0</v>
      </c>
      <c r="T67" s="358">
        <f t="shared" si="27"/>
        <v>0</v>
      </c>
      <c r="U67" s="360"/>
      <c r="V67" s="361">
        <f>+S67/H67</f>
        <v>0</v>
      </c>
      <c r="W67" s="361"/>
      <c r="X67" s="361">
        <f t="shared" si="28"/>
        <v>0</v>
      </c>
      <c r="Y67" s="361"/>
      <c r="Z67" s="361">
        <v>0</v>
      </c>
      <c r="AA67" s="361"/>
      <c r="AB67" s="361">
        <f t="shared" si="29"/>
        <v>0</v>
      </c>
      <c r="AC67" s="648" t="s">
        <v>1850</v>
      </c>
      <c r="AD67" s="719" t="s">
        <v>1920</v>
      </c>
      <c r="AE67" s="650" t="s">
        <v>2272</v>
      </c>
      <c r="AF67" s="1087" t="s">
        <v>2297</v>
      </c>
      <c r="AG67" s="1087" t="s">
        <v>2412</v>
      </c>
      <c r="AH67" s="1087" t="s">
        <v>2447</v>
      </c>
      <c r="AI67" s="677" t="s">
        <v>2564</v>
      </c>
    </row>
    <row r="68" spans="1:35" ht="122.4" customHeight="1" thickBot="1" x14ac:dyDescent="0.55000000000000004">
      <c r="A68" s="344"/>
      <c r="B68" s="1308" t="s">
        <v>458</v>
      </c>
      <c r="C68" s="1310"/>
      <c r="D68" s="694"/>
      <c r="E68" s="349">
        <v>0.02</v>
      </c>
      <c r="F68" s="367"/>
      <c r="G68" s="368"/>
      <c r="H68" s="350"/>
      <c r="I68" s="369">
        <f>+AVERAGE(I69:I72)</f>
        <v>0.20065789473684209</v>
      </c>
      <c r="J68" s="369">
        <f>+AVERAGE(J69:J72)</f>
        <v>0.29276315789473684</v>
      </c>
      <c r="K68" s="370">
        <f>+K69+K70+K71+K72</f>
        <v>0.24013157894736842</v>
      </c>
      <c r="L68" s="370">
        <f>+L69+L70+L71+L72</f>
        <v>0.25855263157894737</v>
      </c>
      <c r="M68" s="358"/>
      <c r="N68" s="371"/>
      <c r="O68" s="371"/>
      <c r="P68" s="371"/>
      <c r="Q68" s="371"/>
      <c r="R68" s="1178"/>
      <c r="S68" s="371"/>
      <c r="T68" s="371"/>
      <c r="U68" s="579">
        <f>+AVERAGE(U69:U72)</f>
        <v>0.72750000000000004</v>
      </c>
      <c r="V68" s="579">
        <f>+AVERAGE(V69:V72)</f>
        <v>0.79437499999999994</v>
      </c>
      <c r="W68" s="392">
        <f>+(W69+W70+W71+W72)*E68</f>
        <v>1.5910000000000001E-2</v>
      </c>
      <c r="X68" s="392">
        <f>+(X69+X70+X71+X72)*E68</f>
        <v>1.7777499999999998E-2</v>
      </c>
      <c r="Y68" s="351">
        <f>+AVERAGE(Y69:Y72)</f>
        <v>0.1369736842105263</v>
      </c>
      <c r="Z68" s="653">
        <f>+AVERAGE(Z69:Z72)</f>
        <v>0.43584210526315786</v>
      </c>
      <c r="AA68" s="351">
        <f>+(AA69+AA70+AA71+AA72)*E68</f>
        <v>3.7978947368421051E-3</v>
      </c>
      <c r="AB68" s="351">
        <f>+(AB69+AB70+AB71+AB72)</f>
        <v>0.46981842105263161</v>
      </c>
      <c r="AC68" s="764"/>
      <c r="AD68" s="350"/>
      <c r="AE68" s="350"/>
      <c r="AF68" s="350"/>
      <c r="AG68" s="350"/>
      <c r="AH68" s="1088"/>
      <c r="AI68" s="1085"/>
    </row>
    <row r="69" spans="1:35" ht="122.4" customHeight="1" thickBot="1" x14ac:dyDescent="0.45">
      <c r="A69" s="344"/>
      <c r="B69" s="1206" t="s">
        <v>459</v>
      </c>
      <c r="C69" s="1195" t="s">
        <v>460</v>
      </c>
      <c r="D69" s="688" t="s">
        <v>357</v>
      </c>
      <c r="E69" s="352">
        <v>0.05</v>
      </c>
      <c r="F69" s="353">
        <v>19</v>
      </c>
      <c r="G69" s="372">
        <v>1</v>
      </c>
      <c r="H69" s="373">
        <v>8</v>
      </c>
      <c r="I69" s="362">
        <f>+G69/F69</f>
        <v>5.2631578947368418E-2</v>
      </c>
      <c r="J69" s="362">
        <f t="shared" si="23"/>
        <v>0.42105263157894735</v>
      </c>
      <c r="K69" s="363">
        <f>+(G69/F69)*E69</f>
        <v>2.631578947368421E-3</v>
      </c>
      <c r="L69" s="363">
        <f t="shared" si="24"/>
        <v>2.1052631578947368E-2</v>
      </c>
      <c r="M69" s="358">
        <v>0.91</v>
      </c>
      <c r="N69" s="365">
        <v>1.6</v>
      </c>
      <c r="O69" s="359">
        <v>2.48</v>
      </c>
      <c r="P69" s="359">
        <v>0.14000000000000001</v>
      </c>
      <c r="Q69" s="1175">
        <v>0</v>
      </c>
      <c r="R69" s="359">
        <v>2.8</v>
      </c>
      <c r="S69" s="364">
        <f>+N69+O69+P69+Q69+R69</f>
        <v>7.02</v>
      </c>
      <c r="T69" s="358">
        <f>+S69+M69</f>
        <v>7.93</v>
      </c>
      <c r="U69" s="360">
        <f>+(M69/G69)</f>
        <v>0.91</v>
      </c>
      <c r="V69" s="361">
        <f>+S69/H69</f>
        <v>0.87749999999999995</v>
      </c>
      <c r="W69" s="361">
        <f>+U69*E69</f>
        <v>4.5500000000000006E-2</v>
      </c>
      <c r="X69" s="361">
        <f>+V69*E69</f>
        <v>4.3874999999999997E-2</v>
      </c>
      <c r="Y69" s="361">
        <f>+M69/F69</f>
        <v>4.7894736842105268E-2</v>
      </c>
      <c r="Z69" s="361">
        <f>+T69/F69</f>
        <v>0.41736842105263156</v>
      </c>
      <c r="AA69" s="361">
        <f>+Y69*E69</f>
        <v>2.3947368421052637E-3</v>
      </c>
      <c r="AB69" s="361">
        <f>+Z69*E69</f>
        <v>2.0868421052631578E-2</v>
      </c>
      <c r="AC69" s="648" t="s">
        <v>1850</v>
      </c>
      <c r="AD69" s="650" t="s">
        <v>1902</v>
      </c>
      <c r="AE69" s="650" t="s">
        <v>2272</v>
      </c>
      <c r="AF69" s="1087" t="s">
        <v>2297</v>
      </c>
      <c r="AG69" s="1087" t="s">
        <v>2412</v>
      </c>
      <c r="AH69" s="649" t="s">
        <v>1865</v>
      </c>
      <c r="AI69" s="677" t="s">
        <v>2564</v>
      </c>
    </row>
    <row r="70" spans="1:35" ht="122.4" customHeight="1" thickBot="1" x14ac:dyDescent="0.45">
      <c r="A70" s="344"/>
      <c r="B70" s="1206" t="s">
        <v>461</v>
      </c>
      <c r="C70" s="1195" t="s">
        <v>462</v>
      </c>
      <c r="D70" s="548" t="s">
        <v>357</v>
      </c>
      <c r="E70" s="352">
        <v>0.2</v>
      </c>
      <c r="F70" s="353">
        <v>1</v>
      </c>
      <c r="G70" s="372">
        <v>0.25</v>
      </c>
      <c r="H70" s="373">
        <v>0.25</v>
      </c>
      <c r="I70" s="362">
        <f>+G70/F70</f>
        <v>0.25</v>
      </c>
      <c r="J70" s="362">
        <f t="shared" si="23"/>
        <v>0.25</v>
      </c>
      <c r="K70" s="363">
        <f>+(G70/F70)*E70</f>
        <v>0.05</v>
      </c>
      <c r="L70" s="363">
        <f t="shared" si="24"/>
        <v>0.05</v>
      </c>
      <c r="M70" s="358">
        <v>0</v>
      </c>
      <c r="N70" s="911">
        <v>1E-3</v>
      </c>
      <c r="O70" s="359">
        <v>0.2</v>
      </c>
      <c r="P70" s="359">
        <v>0.2</v>
      </c>
      <c r="Q70" s="1175">
        <v>0.1</v>
      </c>
      <c r="R70" s="359"/>
      <c r="S70" s="364">
        <f>+N70+O70+P70+Q70+R70</f>
        <v>0.501</v>
      </c>
      <c r="T70" s="358">
        <f>+S70+M70</f>
        <v>0.501</v>
      </c>
      <c r="U70" s="360">
        <f>+(M70/G70)</f>
        <v>0</v>
      </c>
      <c r="V70" s="361">
        <v>1</v>
      </c>
      <c r="W70" s="361">
        <f>+U70*E70</f>
        <v>0</v>
      </c>
      <c r="X70" s="361">
        <f>+V70*E70</f>
        <v>0.2</v>
      </c>
      <c r="Y70" s="361">
        <f>+M70/F70</f>
        <v>0</v>
      </c>
      <c r="Z70" s="361">
        <f>+T70/F70</f>
        <v>0.501</v>
      </c>
      <c r="AA70" s="361">
        <f>+Y70*E70</f>
        <v>0</v>
      </c>
      <c r="AB70" s="361">
        <f>+Z70*E70</f>
        <v>0.10020000000000001</v>
      </c>
      <c r="AC70" s="648" t="s">
        <v>1850</v>
      </c>
      <c r="AD70" s="650" t="s">
        <v>1902</v>
      </c>
      <c r="AE70" s="650" t="s">
        <v>2272</v>
      </c>
      <c r="AF70" s="1087" t="s">
        <v>2297</v>
      </c>
      <c r="AG70" s="1087" t="s">
        <v>2414</v>
      </c>
      <c r="AH70" s="649" t="s">
        <v>1865</v>
      </c>
      <c r="AI70" s="677" t="s">
        <v>2564</v>
      </c>
    </row>
    <row r="71" spans="1:35" ht="122.4" customHeight="1" thickBot="1" x14ac:dyDescent="0.45">
      <c r="A71" s="344"/>
      <c r="B71" s="928" t="s">
        <v>463</v>
      </c>
      <c r="C71" s="459" t="s">
        <v>464</v>
      </c>
      <c r="D71" s="691" t="s">
        <v>357</v>
      </c>
      <c r="E71" s="352">
        <v>0.6</v>
      </c>
      <c r="F71" s="353">
        <v>1</v>
      </c>
      <c r="G71" s="372">
        <v>0.25</v>
      </c>
      <c r="H71" s="373">
        <v>0.25</v>
      </c>
      <c r="I71" s="362">
        <f>+G71/F71</f>
        <v>0.25</v>
      </c>
      <c r="J71" s="362">
        <f t="shared" si="23"/>
        <v>0.25</v>
      </c>
      <c r="K71" s="363">
        <f>+(G71/F71)*E71</f>
        <v>0.15</v>
      </c>
      <c r="L71" s="363">
        <f t="shared" si="24"/>
        <v>0.15</v>
      </c>
      <c r="M71" s="364">
        <v>0.25</v>
      </c>
      <c r="N71" s="911">
        <v>1.2800000000000001E-2</v>
      </c>
      <c r="O71" s="359">
        <v>8.1000000000000003E-2</v>
      </c>
      <c r="P71" s="359">
        <v>9.1499999999999998E-2</v>
      </c>
      <c r="Q71" s="1175">
        <v>6.4699999999999994E-2</v>
      </c>
      <c r="R71" s="359"/>
      <c r="S71" s="364">
        <f t="shared" ref="S71:S72" si="31">+N71+O71+P71+Q71+R71</f>
        <v>0.25</v>
      </c>
      <c r="T71" s="364">
        <f>+S71+M71</f>
        <v>0.5</v>
      </c>
      <c r="U71" s="360">
        <v>1</v>
      </c>
      <c r="V71" s="361">
        <f>+S71/H71</f>
        <v>1</v>
      </c>
      <c r="W71" s="361">
        <f>+U71*E71</f>
        <v>0.6</v>
      </c>
      <c r="X71" s="361">
        <f>+V71*E71</f>
        <v>0.6</v>
      </c>
      <c r="Y71" s="361">
        <f>+M71/F71</f>
        <v>0.25</v>
      </c>
      <c r="Z71" s="361">
        <f>+T71/F71</f>
        <v>0.5</v>
      </c>
      <c r="AA71" s="361">
        <f>+Y71*E71</f>
        <v>0.15</v>
      </c>
      <c r="AB71" s="361">
        <f>+Z71*E71</f>
        <v>0.3</v>
      </c>
      <c r="AC71" s="648" t="s">
        <v>1850</v>
      </c>
      <c r="AD71" s="650" t="s">
        <v>1902</v>
      </c>
      <c r="AE71" s="650" t="s">
        <v>2272</v>
      </c>
      <c r="AF71" s="1087" t="s">
        <v>2297</v>
      </c>
      <c r="AG71" s="1087" t="s">
        <v>2412</v>
      </c>
      <c r="AH71" s="649" t="s">
        <v>1865</v>
      </c>
      <c r="AI71" s="677" t="s">
        <v>2564</v>
      </c>
    </row>
    <row r="72" spans="1:35" ht="122.4" customHeight="1" thickBot="1" x14ac:dyDescent="0.45">
      <c r="A72" s="344"/>
      <c r="B72" s="1206" t="s">
        <v>465</v>
      </c>
      <c r="C72" s="1195" t="s">
        <v>466</v>
      </c>
      <c r="D72" s="548" t="s">
        <v>357</v>
      </c>
      <c r="E72" s="352">
        <v>0.15</v>
      </c>
      <c r="F72" s="353">
        <v>1</v>
      </c>
      <c r="G72" s="372">
        <v>0.25</v>
      </c>
      <c r="H72" s="373">
        <v>0.25</v>
      </c>
      <c r="I72" s="362">
        <f>+G72/F72</f>
        <v>0.25</v>
      </c>
      <c r="J72" s="362">
        <f t="shared" si="23"/>
        <v>0.25</v>
      </c>
      <c r="K72" s="363">
        <f>+(G72/F72)*E72</f>
        <v>3.7499999999999999E-2</v>
      </c>
      <c r="L72" s="363">
        <f t="shared" si="24"/>
        <v>3.7499999999999999E-2</v>
      </c>
      <c r="M72" s="358">
        <v>0.25</v>
      </c>
      <c r="N72" s="1271">
        <v>2.5000000000000001E-2</v>
      </c>
      <c r="O72" s="1271">
        <v>3.7499999999999999E-2</v>
      </c>
      <c r="P72" s="1271">
        <v>1.2500000000000001E-2</v>
      </c>
      <c r="Q72" s="1175">
        <v>0</v>
      </c>
      <c r="R72" s="1175">
        <v>0</v>
      </c>
      <c r="S72" s="364">
        <f t="shared" si="31"/>
        <v>7.4999999999999997E-2</v>
      </c>
      <c r="T72" s="358">
        <f>+S72+M72</f>
        <v>0.32500000000000001</v>
      </c>
      <c r="U72" s="360">
        <f>+(M72/G72)</f>
        <v>1</v>
      </c>
      <c r="V72" s="361">
        <f>+S72/H72</f>
        <v>0.3</v>
      </c>
      <c r="W72" s="361">
        <f>+U72*E72</f>
        <v>0.15</v>
      </c>
      <c r="X72" s="361">
        <f>+V72*E72</f>
        <v>4.4999999999999998E-2</v>
      </c>
      <c r="Y72" s="361">
        <f>+M72/F72</f>
        <v>0.25</v>
      </c>
      <c r="Z72" s="361">
        <f>+T72/F72</f>
        <v>0.32500000000000001</v>
      </c>
      <c r="AA72" s="361">
        <f>+Y72*E72</f>
        <v>3.7499999999999999E-2</v>
      </c>
      <c r="AB72" s="361">
        <f>+Z72*E72</f>
        <v>4.8750000000000002E-2</v>
      </c>
      <c r="AC72" s="648" t="s">
        <v>1850</v>
      </c>
      <c r="AD72" s="650" t="s">
        <v>1902</v>
      </c>
      <c r="AE72" s="650" t="s">
        <v>2272</v>
      </c>
      <c r="AF72" s="1087" t="s">
        <v>2297</v>
      </c>
      <c r="AG72" s="1087" t="s">
        <v>2412</v>
      </c>
      <c r="AH72" s="649" t="s">
        <v>1865</v>
      </c>
      <c r="AI72" s="677" t="s">
        <v>2564</v>
      </c>
    </row>
    <row r="73" spans="1:35" ht="122.4" customHeight="1" thickBot="1" x14ac:dyDescent="0.55000000000000004">
      <c r="A73" s="344"/>
      <c r="B73" s="1308" t="s">
        <v>1652</v>
      </c>
      <c r="C73" s="1309"/>
      <c r="D73" s="695"/>
      <c r="E73" s="349">
        <v>0.02</v>
      </c>
      <c r="F73" s="353"/>
      <c r="G73" s="368"/>
      <c r="H73" s="350"/>
      <c r="I73" s="369">
        <f>+AVERAGE(I74:I76)</f>
        <v>0.26633986928104575</v>
      </c>
      <c r="J73" s="369">
        <f>+AVERAGE(J74:J76)</f>
        <v>0.51470588235294124</v>
      </c>
      <c r="K73" s="370">
        <f>+K74+K75+K76</f>
        <v>0.26470588235294118</v>
      </c>
      <c r="L73" s="370">
        <f>+L74+L75+L76</f>
        <v>0.4882352941176471</v>
      </c>
      <c r="M73" s="358"/>
      <c r="N73" s="371"/>
      <c r="O73" s="371"/>
      <c r="P73" s="371"/>
      <c r="Q73" s="371"/>
      <c r="R73" s="1178"/>
      <c r="S73" s="371"/>
      <c r="T73" s="371"/>
      <c r="U73" s="579">
        <f>+AVERAGE(U74:U76)</f>
        <v>0.33333333333333331</v>
      </c>
      <c r="V73" s="579">
        <f>+AVERAGE(V74:V76)</f>
        <v>0.89111111111111108</v>
      </c>
      <c r="W73" s="392">
        <f>+(W74+W75+W76)*E73</f>
        <v>6.0000000000000001E-3</v>
      </c>
      <c r="X73" s="392">
        <f>+(X74+X75+X76)*E73</f>
        <v>1.8039999999999997E-2</v>
      </c>
      <c r="Y73" s="351">
        <f>+AVERAGE(Y74:Y76)</f>
        <v>0.10888888888888888</v>
      </c>
      <c r="Z73" s="351">
        <f>+AVERAGE(Z74:Z76)</f>
        <v>0.51470588235294124</v>
      </c>
      <c r="AA73" s="351">
        <f>+(AA74+AA75+AA76)*E73</f>
        <v>1.9599999999999999E-3</v>
      </c>
      <c r="AB73" s="351">
        <f>+(AB74+AB75+AB76)</f>
        <v>0.4882352941176471</v>
      </c>
      <c r="AC73" s="764"/>
      <c r="AD73" s="350"/>
      <c r="AE73" s="350"/>
      <c r="AF73" s="350"/>
      <c r="AG73" s="350"/>
      <c r="AH73" s="1088"/>
      <c r="AI73" s="1085"/>
    </row>
    <row r="74" spans="1:35" ht="122.4" customHeight="1" thickBot="1" x14ac:dyDescent="0.45">
      <c r="A74" s="344"/>
      <c r="B74" s="1206" t="s">
        <v>467</v>
      </c>
      <c r="C74" s="1228" t="s">
        <v>468</v>
      </c>
      <c r="D74" s="696" t="s">
        <v>357</v>
      </c>
      <c r="E74" s="352">
        <v>0.3</v>
      </c>
      <c r="F74" s="353">
        <v>150</v>
      </c>
      <c r="G74" s="372">
        <v>40</v>
      </c>
      <c r="H74" s="373">
        <v>150</v>
      </c>
      <c r="I74" s="362">
        <f>+G74/F74</f>
        <v>0.26666666666666666</v>
      </c>
      <c r="J74" s="362">
        <f t="shared" si="23"/>
        <v>1</v>
      </c>
      <c r="K74" s="363">
        <f>+(G74/F74)*E74</f>
        <v>0.08</v>
      </c>
      <c r="L74" s="363">
        <f t="shared" si="24"/>
        <v>0.3</v>
      </c>
      <c r="M74" s="378">
        <v>49</v>
      </c>
      <c r="N74" s="365">
        <v>50</v>
      </c>
      <c r="O74" s="359">
        <v>16</v>
      </c>
      <c r="P74" s="359">
        <v>35</v>
      </c>
      <c r="Q74" s="359">
        <v>0</v>
      </c>
      <c r="R74" s="359"/>
      <c r="S74" s="1176">
        <f>+N74+O74+P74+Q74+R74</f>
        <v>101</v>
      </c>
      <c r="T74" s="378">
        <f>+S74+M74</f>
        <v>150</v>
      </c>
      <c r="U74" s="360">
        <v>1</v>
      </c>
      <c r="V74" s="361">
        <f>+S74/H74</f>
        <v>0.67333333333333334</v>
      </c>
      <c r="W74" s="361">
        <f>+U74*E74</f>
        <v>0.3</v>
      </c>
      <c r="X74" s="361">
        <f>+V74*E74</f>
        <v>0.20199999999999999</v>
      </c>
      <c r="Y74" s="361">
        <f>+M74/F74</f>
        <v>0.32666666666666666</v>
      </c>
      <c r="Z74" s="361">
        <f>+T74/F74</f>
        <v>1</v>
      </c>
      <c r="AA74" s="361">
        <f>+Y74*E74</f>
        <v>9.799999999999999E-2</v>
      </c>
      <c r="AB74" s="361">
        <f>+Z74*E74</f>
        <v>0.3</v>
      </c>
      <c r="AC74" s="648" t="s">
        <v>1850</v>
      </c>
      <c r="AD74" s="650" t="s">
        <v>1902</v>
      </c>
      <c r="AE74" s="650" t="s">
        <v>2272</v>
      </c>
      <c r="AF74" s="1087" t="s">
        <v>2297</v>
      </c>
      <c r="AG74" s="1087" t="s">
        <v>2412</v>
      </c>
      <c r="AH74" s="1087" t="s">
        <v>2447</v>
      </c>
      <c r="AI74" s="677" t="s">
        <v>2564</v>
      </c>
    </row>
    <row r="75" spans="1:35" ht="122.4" customHeight="1" thickBot="1" x14ac:dyDescent="0.45">
      <c r="A75" s="344"/>
      <c r="B75" s="1206" t="s">
        <v>469</v>
      </c>
      <c r="C75" s="1228" t="s">
        <v>470</v>
      </c>
      <c r="D75" s="696" t="s">
        <v>357</v>
      </c>
      <c r="E75" s="352">
        <v>0.4</v>
      </c>
      <c r="F75" s="353">
        <v>8</v>
      </c>
      <c r="G75" s="372">
        <v>2</v>
      </c>
      <c r="H75" s="373">
        <v>2</v>
      </c>
      <c r="I75" s="362">
        <f>+G75/F75</f>
        <v>0.25</v>
      </c>
      <c r="J75" s="362">
        <f t="shared" si="23"/>
        <v>0.25</v>
      </c>
      <c r="K75" s="363">
        <f>+(G75/F75)*E75</f>
        <v>0.1</v>
      </c>
      <c r="L75" s="363">
        <f t="shared" si="24"/>
        <v>0.1</v>
      </c>
      <c r="M75" s="358">
        <v>0</v>
      </c>
      <c r="N75" s="365">
        <v>0</v>
      </c>
      <c r="O75" s="359">
        <v>0</v>
      </c>
      <c r="P75" s="359">
        <v>0</v>
      </c>
      <c r="Q75" s="359">
        <v>2</v>
      </c>
      <c r="R75" s="359"/>
      <c r="S75" s="1176">
        <f t="shared" ref="S75:S76" si="32">+N75+O75+P75+Q75+R75</f>
        <v>2</v>
      </c>
      <c r="T75" s="358">
        <f>+S75+M75</f>
        <v>2</v>
      </c>
      <c r="U75" s="360">
        <f>+(M75/G75)</f>
        <v>0</v>
      </c>
      <c r="V75" s="361">
        <f>+S75/H75</f>
        <v>1</v>
      </c>
      <c r="W75" s="361">
        <f>+U75*E75</f>
        <v>0</v>
      </c>
      <c r="X75" s="361">
        <f>+V75*E75</f>
        <v>0.4</v>
      </c>
      <c r="Y75" s="361">
        <f>+M75/F75</f>
        <v>0</v>
      </c>
      <c r="Z75" s="361">
        <f>+T75/F75</f>
        <v>0.25</v>
      </c>
      <c r="AA75" s="361">
        <f>+Y75*E75</f>
        <v>0</v>
      </c>
      <c r="AB75" s="361">
        <f>+Z75*E75</f>
        <v>0.1</v>
      </c>
      <c r="AC75" s="648" t="s">
        <v>1850</v>
      </c>
      <c r="AD75" s="650" t="s">
        <v>1902</v>
      </c>
      <c r="AE75" s="650" t="s">
        <v>2272</v>
      </c>
      <c r="AF75" s="1087" t="s">
        <v>2297</v>
      </c>
      <c r="AG75" s="1087" t="s">
        <v>2412</v>
      </c>
      <c r="AH75" s="1087" t="s">
        <v>2447</v>
      </c>
      <c r="AI75" s="677" t="s">
        <v>2564</v>
      </c>
    </row>
    <row r="76" spans="1:35" ht="122.4" customHeight="1" thickBot="1" x14ac:dyDescent="0.45">
      <c r="A76" s="344"/>
      <c r="B76" s="1206" t="s">
        <v>471</v>
      </c>
      <c r="C76" s="1228" t="s">
        <v>472</v>
      </c>
      <c r="D76" s="696" t="s">
        <v>357</v>
      </c>
      <c r="E76" s="352">
        <v>0.3</v>
      </c>
      <c r="F76" s="353">
        <v>85</v>
      </c>
      <c r="G76" s="372">
        <v>24</v>
      </c>
      <c r="H76" s="373">
        <v>25</v>
      </c>
      <c r="I76" s="362">
        <f>+G76/F76</f>
        <v>0.28235294117647058</v>
      </c>
      <c r="J76" s="362">
        <f t="shared" si="23"/>
        <v>0.29411764705882354</v>
      </c>
      <c r="K76" s="363">
        <f>+(G76/F76)*E76</f>
        <v>8.4705882352941173E-2</v>
      </c>
      <c r="L76" s="363">
        <f t="shared" si="24"/>
        <v>8.8235294117647065E-2</v>
      </c>
      <c r="M76" s="358">
        <v>0</v>
      </c>
      <c r="N76" s="365">
        <v>15</v>
      </c>
      <c r="O76" s="359">
        <v>5</v>
      </c>
      <c r="P76" s="359">
        <v>2</v>
      </c>
      <c r="Q76" s="359">
        <v>3</v>
      </c>
      <c r="R76" s="359"/>
      <c r="S76" s="1176">
        <f t="shared" si="32"/>
        <v>25</v>
      </c>
      <c r="T76" s="358">
        <f>+S76+M76</f>
        <v>25</v>
      </c>
      <c r="U76" s="360">
        <f>+(M76/G76)</f>
        <v>0</v>
      </c>
      <c r="V76" s="361">
        <f>+S76/H76</f>
        <v>1</v>
      </c>
      <c r="W76" s="361">
        <f>+U76*E76</f>
        <v>0</v>
      </c>
      <c r="X76" s="361">
        <f>+V76*E76</f>
        <v>0.3</v>
      </c>
      <c r="Y76" s="361">
        <f>+M76/F76</f>
        <v>0</v>
      </c>
      <c r="Z76" s="361">
        <f>+T76/F76</f>
        <v>0.29411764705882354</v>
      </c>
      <c r="AA76" s="361">
        <f>+Y76*E76</f>
        <v>0</v>
      </c>
      <c r="AB76" s="361">
        <f>+Z76*E76</f>
        <v>8.8235294117647065E-2</v>
      </c>
      <c r="AC76" s="648" t="s">
        <v>1850</v>
      </c>
      <c r="AD76" s="650" t="s">
        <v>1902</v>
      </c>
      <c r="AE76" s="650" t="s">
        <v>2272</v>
      </c>
      <c r="AF76" s="1087" t="s">
        <v>2297</v>
      </c>
      <c r="AG76" s="1087" t="s">
        <v>2412</v>
      </c>
      <c r="AH76" s="1087" t="s">
        <v>2447</v>
      </c>
      <c r="AI76" s="677" t="s">
        <v>2564</v>
      </c>
    </row>
    <row r="77" spans="1:35" ht="122.4" customHeight="1" thickBot="1" x14ac:dyDescent="0.55000000000000004">
      <c r="A77" s="344"/>
      <c r="B77" s="1308" t="s">
        <v>1653</v>
      </c>
      <c r="C77" s="1309"/>
      <c r="D77" s="696"/>
      <c r="E77" s="349">
        <v>0.1</v>
      </c>
      <c r="F77" s="367"/>
      <c r="G77" s="368"/>
      <c r="H77" s="350"/>
      <c r="I77" s="369">
        <f>+AVERAGE(I78:I84)</f>
        <v>0.19</v>
      </c>
      <c r="J77" s="369">
        <f>+AVERAGE(J78:J84)</f>
        <v>0.25316323485526709</v>
      </c>
      <c r="K77" s="370">
        <f>+K78+K79+K80+K81+K82+K83+K84</f>
        <v>3.9E-2</v>
      </c>
      <c r="L77" s="370">
        <f>+L78+L79+L80+L81+L82+L83+L84</f>
        <v>0.10689794091316027</v>
      </c>
      <c r="M77" s="358"/>
      <c r="N77" s="371"/>
      <c r="O77" s="371"/>
      <c r="P77" s="371"/>
      <c r="Q77" s="371"/>
      <c r="R77" s="1178"/>
      <c r="S77" s="371"/>
      <c r="T77" s="371"/>
      <c r="U77" s="579">
        <f>+AVERAGE(U78:U84)</f>
        <v>0</v>
      </c>
      <c r="V77" s="579">
        <f>+AVERAGE(V78:V84)</f>
        <v>0.90476190476190477</v>
      </c>
      <c r="W77" s="392">
        <f>+(W78+W79+W80+W81+W82+W83+W84)*E77</f>
        <v>0</v>
      </c>
      <c r="X77" s="392">
        <f>+(X78+X79+X80+X81+X82+X83+X84)*E77</f>
        <v>4.2142857142857149E-2</v>
      </c>
      <c r="Y77" s="351">
        <f>+AVERAGE(Y78:Y84)</f>
        <v>0</v>
      </c>
      <c r="Z77" s="763">
        <f>+AVERAGE(Z78:Z84)</f>
        <v>0.10991495076096687</v>
      </c>
      <c r="AA77" s="351">
        <f>+(AA78+AA79+AA80+AA81+AA82+AA83+AA84)*E77</f>
        <v>0</v>
      </c>
      <c r="AB77" s="351">
        <f>+(AB78+AB79+AB80+AB81+AB82+AB83+AB84)</f>
        <v>9.6897940913160258E-2</v>
      </c>
      <c r="AC77" s="764"/>
      <c r="AD77" s="350"/>
      <c r="AE77" s="350"/>
      <c r="AF77" s="350"/>
      <c r="AG77" s="350"/>
      <c r="AH77" s="1088"/>
      <c r="AI77" s="1085"/>
    </row>
    <row r="78" spans="1:35" ht="122.4" customHeight="1" thickBot="1" x14ac:dyDescent="0.55000000000000004">
      <c r="A78" s="344"/>
      <c r="B78" s="1166" t="s">
        <v>473</v>
      </c>
      <c r="C78" s="1173" t="s">
        <v>474</v>
      </c>
      <c r="D78" s="696" t="s">
        <v>475</v>
      </c>
      <c r="E78" s="352">
        <v>0.1</v>
      </c>
      <c r="F78" s="353">
        <v>20</v>
      </c>
      <c r="G78" s="372"/>
      <c r="H78" s="373">
        <v>7</v>
      </c>
      <c r="I78" s="362"/>
      <c r="J78" s="362">
        <f t="shared" si="23"/>
        <v>0.35</v>
      </c>
      <c r="K78" s="363"/>
      <c r="L78" s="363">
        <f t="shared" si="24"/>
        <v>3.4999999999999996E-2</v>
      </c>
      <c r="M78" s="358"/>
      <c r="N78" s="365"/>
      <c r="O78" s="365">
        <v>0</v>
      </c>
      <c r="P78" s="365">
        <v>4.1500000000000004</v>
      </c>
      <c r="Q78" s="359">
        <v>0.85</v>
      </c>
      <c r="R78" s="1177"/>
      <c r="S78" s="721">
        <f>+N78+O78+P78+Q78+R78</f>
        <v>5</v>
      </c>
      <c r="T78" s="358">
        <f t="shared" ref="T78:T84" si="33">+S78+M78</f>
        <v>5</v>
      </c>
      <c r="U78" s="360"/>
      <c r="V78" s="361">
        <f>+S78/H78</f>
        <v>0.7142857142857143</v>
      </c>
      <c r="W78" s="361"/>
      <c r="X78" s="361">
        <f>+V78*E78</f>
        <v>7.1428571428571438E-2</v>
      </c>
      <c r="Y78" s="361"/>
      <c r="Z78" s="361">
        <f>+T78/F78</f>
        <v>0.25</v>
      </c>
      <c r="AA78" s="361">
        <f>+Y78*E78</f>
        <v>0</v>
      </c>
      <c r="AB78" s="361">
        <f t="shared" ref="AB78:AB84" si="34">+Z78*E78</f>
        <v>2.5000000000000001E-2</v>
      </c>
      <c r="AC78" s="1079" t="s">
        <v>1552</v>
      </c>
      <c r="AD78" s="650" t="s">
        <v>1902</v>
      </c>
      <c r="AE78" s="650" t="s">
        <v>2272</v>
      </c>
      <c r="AF78" s="1087" t="s">
        <v>2297</v>
      </c>
      <c r="AG78" s="1087" t="s">
        <v>2412</v>
      </c>
      <c r="AH78" s="1087" t="s">
        <v>2447</v>
      </c>
      <c r="AI78" s="1085"/>
    </row>
    <row r="79" spans="1:35" ht="122.4" customHeight="1" thickBot="1" x14ac:dyDescent="0.55000000000000004">
      <c r="A79" s="344"/>
      <c r="B79" s="1166" t="s">
        <v>476</v>
      </c>
      <c r="C79" s="1173" t="s">
        <v>477</v>
      </c>
      <c r="D79" s="696" t="s">
        <v>475</v>
      </c>
      <c r="E79" s="352">
        <v>0.05</v>
      </c>
      <c r="F79" s="353">
        <v>1</v>
      </c>
      <c r="G79" s="372">
        <v>0.18</v>
      </c>
      <c r="H79" s="373">
        <v>0</v>
      </c>
      <c r="I79" s="362">
        <f>+G79/F79</f>
        <v>0.18</v>
      </c>
      <c r="J79" s="362"/>
      <c r="K79" s="363">
        <f>+(G79/F79)*E79</f>
        <v>8.9999999999999993E-3</v>
      </c>
      <c r="L79" s="363"/>
      <c r="M79" s="358">
        <v>0</v>
      </c>
      <c r="N79" s="365"/>
      <c r="O79" s="359"/>
      <c r="P79" s="359"/>
      <c r="Q79" s="359"/>
      <c r="R79" s="1177"/>
      <c r="S79" s="721">
        <f t="shared" ref="S79:S84" si="35">+N79+O79+P79+Q79+R79</f>
        <v>0</v>
      </c>
      <c r="T79" s="358">
        <f t="shared" si="33"/>
        <v>0</v>
      </c>
      <c r="U79" s="360">
        <f>+(M79/G79)</f>
        <v>0</v>
      </c>
      <c r="V79" s="361"/>
      <c r="W79" s="361">
        <f>+U79*E79</f>
        <v>0</v>
      </c>
      <c r="X79" s="361"/>
      <c r="Y79" s="361">
        <f>+M79/F79</f>
        <v>0</v>
      </c>
      <c r="Z79" s="361">
        <f>+T79/F79</f>
        <v>0</v>
      </c>
      <c r="AA79" s="361">
        <f>+Y79*E79</f>
        <v>0</v>
      </c>
      <c r="AB79" s="361">
        <f t="shared" si="34"/>
        <v>0</v>
      </c>
      <c r="AC79" s="648" t="s">
        <v>1850</v>
      </c>
      <c r="AD79" s="650" t="s">
        <v>1902</v>
      </c>
      <c r="AE79" s="650" t="s">
        <v>2272</v>
      </c>
      <c r="AF79" s="1087" t="s">
        <v>2297</v>
      </c>
      <c r="AG79" s="1087" t="s">
        <v>2412</v>
      </c>
      <c r="AH79" s="1087" t="s">
        <v>2447</v>
      </c>
      <c r="AI79" s="1085"/>
    </row>
    <row r="80" spans="1:35" ht="122.4" customHeight="1" thickBot="1" x14ac:dyDescent="0.55000000000000004">
      <c r="A80" s="344"/>
      <c r="B80" s="1166" t="s">
        <v>478</v>
      </c>
      <c r="C80" s="1173" t="s">
        <v>479</v>
      </c>
      <c r="D80" s="696" t="s">
        <v>475</v>
      </c>
      <c r="E80" s="352">
        <v>0.2</v>
      </c>
      <c r="F80" s="353">
        <v>1526</v>
      </c>
      <c r="G80" s="372">
        <v>0</v>
      </c>
      <c r="H80" s="373">
        <v>0</v>
      </c>
      <c r="I80" s="362"/>
      <c r="J80" s="362"/>
      <c r="K80" s="363"/>
      <c r="L80" s="363"/>
      <c r="M80" s="358"/>
      <c r="N80" s="365"/>
      <c r="O80" s="359"/>
      <c r="P80" s="359"/>
      <c r="Q80" s="359"/>
      <c r="R80" s="1177"/>
      <c r="S80" s="721">
        <f t="shared" si="35"/>
        <v>0</v>
      </c>
      <c r="T80" s="358">
        <f t="shared" si="33"/>
        <v>0</v>
      </c>
      <c r="U80" s="360"/>
      <c r="V80" s="361"/>
      <c r="W80" s="361"/>
      <c r="X80" s="361"/>
      <c r="Y80" s="361"/>
      <c r="Z80" s="361"/>
      <c r="AA80" s="361"/>
      <c r="AB80" s="361">
        <f t="shared" si="34"/>
        <v>0</v>
      </c>
      <c r="AC80" s="1079" t="s">
        <v>1552</v>
      </c>
      <c r="AD80" s="650" t="s">
        <v>1902</v>
      </c>
      <c r="AE80" s="650" t="s">
        <v>2272</v>
      </c>
      <c r="AF80" s="1087" t="s">
        <v>2297</v>
      </c>
      <c r="AG80" s="1087" t="s">
        <v>2412</v>
      </c>
      <c r="AH80" s="1087" t="s">
        <v>2447</v>
      </c>
      <c r="AI80" s="1085"/>
    </row>
    <row r="81" spans="1:35" ht="122.4" customHeight="1" thickBot="1" x14ac:dyDescent="0.55000000000000004">
      <c r="A81" s="344"/>
      <c r="B81" s="1166" t="s">
        <v>480</v>
      </c>
      <c r="C81" s="1173" t="s">
        <v>481</v>
      </c>
      <c r="D81" s="696" t="s">
        <v>475</v>
      </c>
      <c r="E81" s="352">
        <v>0.15</v>
      </c>
      <c r="F81" s="353">
        <v>5</v>
      </c>
      <c r="G81" s="372">
        <v>1</v>
      </c>
      <c r="H81" s="373">
        <v>1</v>
      </c>
      <c r="I81" s="362">
        <f>+G81/F81</f>
        <v>0.2</v>
      </c>
      <c r="J81" s="362">
        <f t="shared" si="23"/>
        <v>0.2</v>
      </c>
      <c r="K81" s="363">
        <f>+(G81/F81)*E81</f>
        <v>0.03</v>
      </c>
      <c r="L81" s="363">
        <f t="shared" si="24"/>
        <v>0.03</v>
      </c>
      <c r="M81" s="358">
        <v>0</v>
      </c>
      <c r="N81" s="365"/>
      <c r="O81" s="359">
        <v>0</v>
      </c>
      <c r="P81" s="365">
        <v>1</v>
      </c>
      <c r="Q81" s="359">
        <v>0</v>
      </c>
      <c r="R81" s="1177"/>
      <c r="S81" s="721">
        <f t="shared" si="35"/>
        <v>1</v>
      </c>
      <c r="T81" s="358">
        <f t="shared" si="33"/>
        <v>1</v>
      </c>
      <c r="U81" s="360">
        <f>+(M81/G81)</f>
        <v>0</v>
      </c>
      <c r="V81" s="361">
        <f>+S81/H81</f>
        <v>1</v>
      </c>
      <c r="W81" s="361">
        <f>+U81*E81</f>
        <v>0</v>
      </c>
      <c r="X81" s="361">
        <f>+V81*E81</f>
        <v>0.15</v>
      </c>
      <c r="Y81" s="361">
        <f>+M81/F81</f>
        <v>0</v>
      </c>
      <c r="Z81" s="361">
        <f>+T81/F81</f>
        <v>0.2</v>
      </c>
      <c r="AA81" s="361">
        <f>+Y81*E81</f>
        <v>0</v>
      </c>
      <c r="AB81" s="361">
        <f t="shared" si="34"/>
        <v>0.03</v>
      </c>
      <c r="AC81" s="648" t="s">
        <v>1850</v>
      </c>
      <c r="AD81" s="650" t="s">
        <v>1902</v>
      </c>
      <c r="AE81" s="650" t="s">
        <v>2272</v>
      </c>
      <c r="AF81" s="1087" t="s">
        <v>2297</v>
      </c>
      <c r="AG81" s="1087" t="s">
        <v>2412</v>
      </c>
      <c r="AH81" s="1087" t="s">
        <v>2447</v>
      </c>
      <c r="AI81" s="1085"/>
    </row>
    <row r="82" spans="1:35" ht="122.4" customHeight="1" thickBot="1" x14ac:dyDescent="0.55000000000000004">
      <c r="A82" s="344"/>
      <c r="B82" s="1167" t="s">
        <v>482</v>
      </c>
      <c r="C82" s="1168" t="s">
        <v>483</v>
      </c>
      <c r="D82" s="697" t="s">
        <v>475</v>
      </c>
      <c r="E82" s="352">
        <v>0.15</v>
      </c>
      <c r="F82" s="353">
        <v>6</v>
      </c>
      <c r="G82" s="372"/>
      <c r="H82" s="373">
        <v>0</v>
      </c>
      <c r="I82" s="362"/>
      <c r="J82" s="362"/>
      <c r="K82" s="363"/>
      <c r="L82" s="363"/>
      <c r="M82" s="358"/>
      <c r="N82" s="365"/>
      <c r="O82" s="359"/>
      <c r="P82" s="359"/>
      <c r="Q82" s="359"/>
      <c r="R82" s="1177"/>
      <c r="S82" s="721">
        <f t="shared" si="35"/>
        <v>0</v>
      </c>
      <c r="T82" s="358">
        <f t="shared" si="33"/>
        <v>0</v>
      </c>
      <c r="U82" s="360"/>
      <c r="V82" s="361"/>
      <c r="W82" s="361"/>
      <c r="X82" s="361"/>
      <c r="Y82" s="361"/>
      <c r="Z82" s="361">
        <f>+T82/F82</f>
        <v>0</v>
      </c>
      <c r="AA82" s="361"/>
      <c r="AB82" s="361">
        <f t="shared" si="34"/>
        <v>0</v>
      </c>
      <c r="AC82" s="1079" t="s">
        <v>1552</v>
      </c>
      <c r="AD82" s="650" t="s">
        <v>1902</v>
      </c>
      <c r="AE82" s="650" t="s">
        <v>2272</v>
      </c>
      <c r="AF82" s="1087" t="s">
        <v>2297</v>
      </c>
      <c r="AG82" s="1087" t="s">
        <v>2412</v>
      </c>
      <c r="AH82" s="1087" t="s">
        <v>2447</v>
      </c>
      <c r="AI82" s="1085"/>
    </row>
    <row r="83" spans="1:35" ht="122.4" customHeight="1" thickBot="1" x14ac:dyDescent="0.55000000000000004">
      <c r="A83" s="344"/>
      <c r="B83" s="1169" t="s">
        <v>484</v>
      </c>
      <c r="C83" s="1170" t="s">
        <v>485</v>
      </c>
      <c r="D83" s="690" t="s">
        <v>475</v>
      </c>
      <c r="E83" s="352">
        <v>0.15</v>
      </c>
      <c r="F83" s="353">
        <v>2</v>
      </c>
      <c r="G83" s="372"/>
      <c r="H83" s="373">
        <v>0</v>
      </c>
      <c r="I83" s="362"/>
      <c r="J83" s="362"/>
      <c r="K83" s="363"/>
      <c r="L83" s="363"/>
      <c r="M83" s="358"/>
      <c r="N83" s="365"/>
      <c r="O83" s="359"/>
      <c r="P83" s="359"/>
      <c r="Q83" s="359"/>
      <c r="R83" s="1177"/>
      <c r="S83" s="721">
        <f t="shared" si="35"/>
        <v>0</v>
      </c>
      <c r="T83" s="358">
        <f t="shared" si="33"/>
        <v>0</v>
      </c>
      <c r="U83" s="360"/>
      <c r="V83" s="361"/>
      <c r="W83" s="361"/>
      <c r="X83" s="361"/>
      <c r="Y83" s="361"/>
      <c r="Z83" s="361">
        <f>+T83/F83</f>
        <v>0</v>
      </c>
      <c r="AA83" s="361"/>
      <c r="AB83" s="361">
        <f t="shared" si="34"/>
        <v>0</v>
      </c>
      <c r="AC83" s="1079" t="s">
        <v>1552</v>
      </c>
      <c r="AD83" s="650" t="s">
        <v>1902</v>
      </c>
      <c r="AE83" s="650" t="s">
        <v>2272</v>
      </c>
      <c r="AF83" s="1087" t="s">
        <v>2297</v>
      </c>
      <c r="AG83" s="1087" t="s">
        <v>2412</v>
      </c>
      <c r="AH83" s="1087" t="s">
        <v>2447</v>
      </c>
      <c r="AI83" s="1085"/>
    </row>
    <row r="84" spans="1:35" ht="161.4" customHeight="1" thickBot="1" x14ac:dyDescent="0.55000000000000004">
      <c r="A84" s="344"/>
      <c r="B84" s="1171" t="s">
        <v>486</v>
      </c>
      <c r="C84" s="1172" t="s">
        <v>487</v>
      </c>
      <c r="D84" s="548" t="s">
        <v>475</v>
      </c>
      <c r="E84" s="352">
        <v>0.2</v>
      </c>
      <c r="F84" s="353">
        <v>2234</v>
      </c>
      <c r="G84" s="372"/>
      <c r="H84" s="373">
        <v>468</v>
      </c>
      <c r="I84" s="362"/>
      <c r="J84" s="362">
        <f t="shared" si="23"/>
        <v>0.20948970456580127</v>
      </c>
      <c r="K84" s="363"/>
      <c r="L84" s="363">
        <f t="shared" si="24"/>
        <v>4.1897940913160257E-2</v>
      </c>
      <c r="M84" s="358"/>
      <c r="N84" s="365"/>
      <c r="O84" s="359">
        <v>0</v>
      </c>
      <c r="P84" s="359">
        <v>468</v>
      </c>
      <c r="Q84" s="359">
        <v>0</v>
      </c>
      <c r="R84" s="1177"/>
      <c r="S84" s="721">
        <f t="shared" si="35"/>
        <v>468</v>
      </c>
      <c r="T84" s="358">
        <f t="shared" si="33"/>
        <v>468</v>
      </c>
      <c r="U84" s="360"/>
      <c r="V84" s="361">
        <f>+S84/H84</f>
        <v>1</v>
      </c>
      <c r="W84" s="361"/>
      <c r="X84" s="361">
        <f>+V84*E84</f>
        <v>0.2</v>
      </c>
      <c r="Y84" s="361"/>
      <c r="Z84" s="361">
        <f>+T84/F84</f>
        <v>0.20948970456580127</v>
      </c>
      <c r="AA84" s="361">
        <f>+Y84*E84</f>
        <v>0</v>
      </c>
      <c r="AB84" s="361">
        <f t="shared" si="34"/>
        <v>4.1897940913160257E-2</v>
      </c>
      <c r="AC84" s="1079" t="s">
        <v>1552</v>
      </c>
      <c r="AD84" s="650" t="s">
        <v>1902</v>
      </c>
      <c r="AE84" s="650" t="s">
        <v>2272</v>
      </c>
      <c r="AF84" s="1087" t="s">
        <v>2297</v>
      </c>
      <c r="AG84" s="1087" t="s">
        <v>2412</v>
      </c>
      <c r="AH84" s="1087" t="s">
        <v>2447</v>
      </c>
      <c r="AI84" s="1085"/>
    </row>
    <row r="85" spans="1:35" ht="122.4" customHeight="1" thickBot="1" x14ac:dyDescent="0.55000000000000004">
      <c r="A85" s="344"/>
      <c r="B85" s="1311" t="s">
        <v>1654</v>
      </c>
      <c r="C85" s="1312"/>
      <c r="D85" s="698"/>
      <c r="E85" s="349">
        <v>0.09</v>
      </c>
      <c r="F85" s="367"/>
      <c r="G85" s="368"/>
      <c r="H85" s="350"/>
      <c r="I85" s="369">
        <f>+AVERAGE(I86:I90)</f>
        <v>0.36527777777777776</v>
      </c>
      <c r="J85" s="369">
        <f>+AVERAGE(J86:J90)</f>
        <v>0.24861111111111106</v>
      </c>
      <c r="K85" s="370">
        <f>+K86+K87+K88+K89+K90</f>
        <v>0.41006944444444449</v>
      </c>
      <c r="L85" s="370">
        <f>+L86+L87+L88+L89+L90</f>
        <v>0.24340277777777775</v>
      </c>
      <c r="M85" s="358"/>
      <c r="N85" s="371"/>
      <c r="O85" s="371"/>
      <c r="P85" s="371"/>
      <c r="Q85" s="371"/>
      <c r="R85" s="1178"/>
      <c r="S85" s="371"/>
      <c r="T85" s="371"/>
      <c r="U85" s="579">
        <f>+AVERAGE(U86:U90)</f>
        <v>1</v>
      </c>
      <c r="V85" s="579">
        <f>+AVERAGE(V86:V90)</f>
        <v>0.82899999999999996</v>
      </c>
      <c r="W85" s="392">
        <f>+(W86+W87+W88+W89+W90)*E85</f>
        <v>0.09</v>
      </c>
      <c r="X85" s="392">
        <f>+(X86+X87+X88+X89+X90)*E85</f>
        <v>6.7860000000000004E-2</v>
      </c>
      <c r="Y85" s="351">
        <f>+AVERAGE(Y86:Y90)</f>
        <v>0.44777777777777777</v>
      </c>
      <c r="Z85" s="351">
        <f>+AVERAGE(Z86:Z90)</f>
        <v>0.75641666666666663</v>
      </c>
      <c r="AA85" s="351">
        <f>+(AA86+AA87+AA88+AA89+AA90)*E85</f>
        <v>4.2475000000000006E-2</v>
      </c>
      <c r="AB85" s="351">
        <f>+(AB86+AB87+AB88+AB89+AB90)</f>
        <v>0.70870833333333327</v>
      </c>
      <c r="AC85" s="764"/>
      <c r="AD85" s="350"/>
      <c r="AE85" s="350"/>
      <c r="AF85" s="350"/>
      <c r="AG85" s="350"/>
      <c r="AH85" s="1088"/>
      <c r="AI85" s="1085"/>
    </row>
    <row r="86" spans="1:35" ht="122.4" customHeight="1" thickBot="1" x14ac:dyDescent="0.55000000000000004">
      <c r="A86" s="344"/>
      <c r="B86" s="1277" t="s">
        <v>488</v>
      </c>
      <c r="C86" s="1278" t="s">
        <v>489</v>
      </c>
      <c r="D86" s="690" t="s">
        <v>490</v>
      </c>
      <c r="E86" s="352">
        <v>0.2</v>
      </c>
      <c r="F86" s="353">
        <v>1600</v>
      </c>
      <c r="G86" s="372">
        <v>400</v>
      </c>
      <c r="H86" s="373">
        <v>400</v>
      </c>
      <c r="I86" s="362">
        <f>+G86/F86</f>
        <v>0.25</v>
      </c>
      <c r="J86" s="362">
        <f t="shared" si="23"/>
        <v>0.25</v>
      </c>
      <c r="K86" s="363">
        <f>+(G86/F86)*E86</f>
        <v>0.05</v>
      </c>
      <c r="L86" s="363">
        <f t="shared" si="24"/>
        <v>0.05</v>
      </c>
      <c r="M86" s="358">
        <v>400</v>
      </c>
      <c r="N86" s="365">
        <v>225</v>
      </c>
      <c r="O86" s="359">
        <v>25</v>
      </c>
      <c r="P86" s="359">
        <v>0</v>
      </c>
      <c r="Q86" s="359">
        <v>8</v>
      </c>
      <c r="R86" s="359">
        <v>0</v>
      </c>
      <c r="S86" s="364">
        <f>+N86+O86+P86+Q86+R86</f>
        <v>258</v>
      </c>
      <c r="T86" s="358">
        <f>+S86+M86</f>
        <v>658</v>
      </c>
      <c r="U86" s="360">
        <f>+(M86/G86)</f>
        <v>1</v>
      </c>
      <c r="V86" s="361">
        <f>+S86/H86</f>
        <v>0.64500000000000002</v>
      </c>
      <c r="W86" s="361">
        <f>+U86*E86</f>
        <v>0.2</v>
      </c>
      <c r="X86" s="361">
        <f>+V86*E86</f>
        <v>0.129</v>
      </c>
      <c r="Y86" s="361">
        <f>+M86/F86</f>
        <v>0.25</v>
      </c>
      <c r="Z86" s="361">
        <f>+T86/F86</f>
        <v>0.41125</v>
      </c>
      <c r="AA86" s="361">
        <f>+Y86*E86</f>
        <v>0.05</v>
      </c>
      <c r="AB86" s="361">
        <f>+Z86*E86</f>
        <v>8.2250000000000004E-2</v>
      </c>
      <c r="AC86" s="648" t="s">
        <v>1850</v>
      </c>
      <c r="AD86" s="650" t="s">
        <v>1902</v>
      </c>
      <c r="AE86" s="350"/>
      <c r="AF86" s="1087" t="s">
        <v>2297</v>
      </c>
      <c r="AG86" s="1087" t="s">
        <v>2412</v>
      </c>
      <c r="AH86" s="1087" t="s">
        <v>2447</v>
      </c>
      <c r="AI86" s="1085"/>
    </row>
    <row r="87" spans="1:35" ht="114.6" customHeight="1" thickBot="1" x14ac:dyDescent="0.55000000000000004">
      <c r="A87" s="344"/>
      <c r="B87" s="1277" t="s">
        <v>491</v>
      </c>
      <c r="C87" s="1278" t="s">
        <v>492</v>
      </c>
      <c r="D87" s="688" t="s">
        <v>490</v>
      </c>
      <c r="E87" s="382">
        <v>0.2</v>
      </c>
      <c r="F87" s="353">
        <v>400</v>
      </c>
      <c r="G87" s="372">
        <v>200</v>
      </c>
      <c r="H87" s="373">
        <v>100</v>
      </c>
      <c r="I87" s="362">
        <f>+G87/F87</f>
        <v>0.5</v>
      </c>
      <c r="J87" s="362">
        <f t="shared" si="23"/>
        <v>0.25</v>
      </c>
      <c r="K87" s="363">
        <f>+(G87/F87)*E87</f>
        <v>0.1</v>
      </c>
      <c r="L87" s="363">
        <f t="shared" si="24"/>
        <v>0.05</v>
      </c>
      <c r="M87" s="358">
        <v>200</v>
      </c>
      <c r="N87" s="365">
        <v>0</v>
      </c>
      <c r="O87" s="359">
        <v>74</v>
      </c>
      <c r="P87" s="359">
        <v>23</v>
      </c>
      <c r="Q87" s="359">
        <v>3</v>
      </c>
      <c r="R87" s="359">
        <v>0</v>
      </c>
      <c r="S87" s="364">
        <f t="shared" ref="S87:S89" si="36">+N87+O87+P87+Q87+R87</f>
        <v>100</v>
      </c>
      <c r="T87" s="358">
        <f>+S87+M87</f>
        <v>300</v>
      </c>
      <c r="U87" s="360">
        <f>+(M87/G87)</f>
        <v>1</v>
      </c>
      <c r="V87" s="361">
        <f>+S87/H87</f>
        <v>1</v>
      </c>
      <c r="W87" s="361">
        <f>+U87*E87</f>
        <v>0.2</v>
      </c>
      <c r="X87" s="361">
        <f>+V87*E87</f>
        <v>0.2</v>
      </c>
      <c r="Y87" s="361">
        <f>+M87/F87</f>
        <v>0.5</v>
      </c>
      <c r="Z87" s="361">
        <f>+T87/F87</f>
        <v>0.75</v>
      </c>
      <c r="AA87" s="361">
        <f>+Y87*E87</f>
        <v>0.1</v>
      </c>
      <c r="AB87" s="361">
        <f>+Z87*E87</f>
        <v>0.15000000000000002</v>
      </c>
      <c r="AC87" s="648" t="s">
        <v>1850</v>
      </c>
      <c r="AD87" s="650" t="s">
        <v>1902</v>
      </c>
      <c r="AE87" s="350"/>
      <c r="AF87" s="1087" t="s">
        <v>2297</v>
      </c>
      <c r="AG87" s="1087" t="s">
        <v>2412</v>
      </c>
      <c r="AH87" s="1087" t="s">
        <v>2447</v>
      </c>
      <c r="AI87" s="1085"/>
    </row>
    <row r="88" spans="1:35" ht="98.4" customHeight="1" thickBot="1" x14ac:dyDescent="0.55000000000000004">
      <c r="A88" s="344"/>
      <c r="B88" s="1277" t="s">
        <v>493</v>
      </c>
      <c r="C88" s="1278" t="s">
        <v>494</v>
      </c>
      <c r="D88" s="688" t="s">
        <v>490</v>
      </c>
      <c r="E88" s="382">
        <v>0.15</v>
      </c>
      <c r="F88" s="383">
        <v>240</v>
      </c>
      <c r="G88" s="372">
        <v>65</v>
      </c>
      <c r="H88" s="373">
        <v>65</v>
      </c>
      <c r="I88" s="362">
        <f>+G88/F88</f>
        <v>0.27083333333333331</v>
      </c>
      <c r="J88" s="362">
        <f t="shared" si="23"/>
        <v>0.27083333333333331</v>
      </c>
      <c r="K88" s="363">
        <f>+(G88/F88)*E88</f>
        <v>4.0624999999999994E-2</v>
      </c>
      <c r="L88" s="363">
        <f t="shared" si="24"/>
        <v>4.0624999999999994E-2</v>
      </c>
      <c r="M88" s="358">
        <v>164</v>
      </c>
      <c r="N88" s="365">
        <v>50</v>
      </c>
      <c r="O88" s="359">
        <v>15</v>
      </c>
      <c r="P88" s="359">
        <v>0</v>
      </c>
      <c r="Q88" s="359">
        <v>0</v>
      </c>
      <c r="R88" s="359">
        <v>0</v>
      </c>
      <c r="S88" s="364">
        <f t="shared" si="36"/>
        <v>65</v>
      </c>
      <c r="T88" s="358">
        <f>+S88+M88</f>
        <v>229</v>
      </c>
      <c r="U88" s="360">
        <v>1</v>
      </c>
      <c r="V88" s="361">
        <f>+S88/H88</f>
        <v>1</v>
      </c>
      <c r="W88" s="361">
        <f>+U88*E88</f>
        <v>0.15</v>
      </c>
      <c r="X88" s="361">
        <f>+V88*E88</f>
        <v>0.15</v>
      </c>
      <c r="Y88" s="361">
        <f>+M88/F88</f>
        <v>0.68333333333333335</v>
      </c>
      <c r="Z88" s="361">
        <f>+T88/F88</f>
        <v>0.95416666666666672</v>
      </c>
      <c r="AA88" s="361">
        <f>+Y88*E88</f>
        <v>0.10249999999999999</v>
      </c>
      <c r="AB88" s="361">
        <f>+Z88*E88</f>
        <v>0.143125</v>
      </c>
      <c r="AC88" s="648" t="s">
        <v>1850</v>
      </c>
      <c r="AD88" s="650" t="s">
        <v>1902</v>
      </c>
      <c r="AE88" s="350"/>
      <c r="AF88" s="1087" t="s">
        <v>2297</v>
      </c>
      <c r="AG88" s="1087" t="s">
        <v>2412</v>
      </c>
      <c r="AH88" s="1087" t="s">
        <v>2447</v>
      </c>
      <c r="AI88" s="1085"/>
    </row>
    <row r="89" spans="1:35" ht="106.2" customHeight="1" thickBot="1" x14ac:dyDescent="0.55000000000000004">
      <c r="A89" s="344"/>
      <c r="B89" s="1236" t="s">
        <v>495</v>
      </c>
      <c r="C89" s="1237" t="s">
        <v>496</v>
      </c>
      <c r="D89" s="548" t="s">
        <v>490</v>
      </c>
      <c r="E89" s="384">
        <v>0.1</v>
      </c>
      <c r="F89" s="383">
        <v>200</v>
      </c>
      <c r="G89" s="372">
        <v>50</v>
      </c>
      <c r="H89" s="373">
        <v>50</v>
      </c>
      <c r="I89" s="362">
        <f>+G89/F89</f>
        <v>0.25</v>
      </c>
      <c r="J89" s="362">
        <f t="shared" si="23"/>
        <v>0.25</v>
      </c>
      <c r="K89" s="363">
        <f>+(G89/F89)*E89</f>
        <v>2.5000000000000001E-2</v>
      </c>
      <c r="L89" s="363">
        <f t="shared" si="24"/>
        <v>2.5000000000000001E-2</v>
      </c>
      <c r="M89" s="358">
        <v>50</v>
      </c>
      <c r="N89" s="365">
        <v>43</v>
      </c>
      <c r="O89" s="359">
        <v>7</v>
      </c>
      <c r="P89" s="359">
        <v>0</v>
      </c>
      <c r="Q89" s="359">
        <v>0</v>
      </c>
      <c r="R89" s="359">
        <v>0</v>
      </c>
      <c r="S89" s="364">
        <f t="shared" si="36"/>
        <v>50</v>
      </c>
      <c r="T89" s="358">
        <f>+S89+M89</f>
        <v>100</v>
      </c>
      <c r="U89" s="360">
        <v>1</v>
      </c>
      <c r="V89" s="361">
        <f>+S89/H89</f>
        <v>1</v>
      </c>
      <c r="W89" s="361">
        <f>+U89*E89</f>
        <v>0.1</v>
      </c>
      <c r="X89" s="361">
        <f>+V89*E89</f>
        <v>0.1</v>
      </c>
      <c r="Y89" s="361">
        <f>+M89/F89</f>
        <v>0.25</v>
      </c>
      <c r="Z89" s="361">
        <v>1</v>
      </c>
      <c r="AA89" s="361">
        <f>+Y89*E89</f>
        <v>2.5000000000000001E-2</v>
      </c>
      <c r="AB89" s="361">
        <f>+Z89*E89</f>
        <v>0.1</v>
      </c>
      <c r="AC89" s="648" t="s">
        <v>1850</v>
      </c>
      <c r="AD89" s="650" t="s">
        <v>1953</v>
      </c>
      <c r="AE89" s="350"/>
      <c r="AF89" s="1087" t="s">
        <v>2297</v>
      </c>
      <c r="AG89" s="1087" t="s">
        <v>2412</v>
      </c>
      <c r="AH89" s="1087" t="s">
        <v>2447</v>
      </c>
      <c r="AI89" s="1085"/>
    </row>
    <row r="90" spans="1:35" ht="98.4" customHeight="1" thickBot="1" x14ac:dyDescent="0.55000000000000004">
      <c r="A90" s="344"/>
      <c r="B90" s="1234" t="s">
        <v>497</v>
      </c>
      <c r="C90" s="1235" t="s">
        <v>498</v>
      </c>
      <c r="D90" s="691" t="s">
        <v>490</v>
      </c>
      <c r="E90" s="913">
        <v>0.35</v>
      </c>
      <c r="F90" s="353">
        <v>9</v>
      </c>
      <c r="G90" s="372">
        <v>5</v>
      </c>
      <c r="H90" s="373">
        <v>2</v>
      </c>
      <c r="I90" s="362">
        <f>+G90/F90</f>
        <v>0.55555555555555558</v>
      </c>
      <c r="J90" s="362">
        <f t="shared" si="23"/>
        <v>0.22222222222222221</v>
      </c>
      <c r="K90" s="363">
        <f>+(G90/F90)*E90</f>
        <v>0.19444444444444445</v>
      </c>
      <c r="L90" s="363">
        <f t="shared" si="24"/>
        <v>7.7777777777777765E-2</v>
      </c>
      <c r="M90" s="358">
        <v>5</v>
      </c>
      <c r="N90" s="365">
        <v>0</v>
      </c>
      <c r="O90" s="359">
        <v>0</v>
      </c>
      <c r="P90" s="359">
        <v>0</v>
      </c>
      <c r="Q90" s="359">
        <v>1</v>
      </c>
      <c r="R90" s="359">
        <v>0</v>
      </c>
      <c r="S90" s="364">
        <f>+N90+O90+P90+Q90+R90</f>
        <v>1</v>
      </c>
      <c r="T90" s="358">
        <f>+S90+M90</f>
        <v>6</v>
      </c>
      <c r="U90" s="360">
        <f>+(M90/G90)</f>
        <v>1</v>
      </c>
      <c r="V90" s="361">
        <f>+S90/H90</f>
        <v>0.5</v>
      </c>
      <c r="W90" s="361">
        <f>+U90*E90</f>
        <v>0.35</v>
      </c>
      <c r="X90" s="361">
        <f>+V90*E90</f>
        <v>0.17499999999999999</v>
      </c>
      <c r="Y90" s="361">
        <f>+M90/F90</f>
        <v>0.55555555555555558</v>
      </c>
      <c r="Z90" s="361">
        <f>+T90/F90</f>
        <v>0.66666666666666663</v>
      </c>
      <c r="AA90" s="361">
        <f>+Y90*E90</f>
        <v>0.19444444444444445</v>
      </c>
      <c r="AB90" s="361">
        <f>+Z90*E90</f>
        <v>0.23333333333333331</v>
      </c>
      <c r="AC90" s="648" t="s">
        <v>1850</v>
      </c>
      <c r="AD90" s="650" t="s">
        <v>1902</v>
      </c>
      <c r="AE90" s="350"/>
      <c r="AF90" s="1087" t="s">
        <v>2297</v>
      </c>
      <c r="AG90" s="1087" t="s">
        <v>2412</v>
      </c>
      <c r="AH90" s="1087" t="s">
        <v>2447</v>
      </c>
      <c r="AI90" s="1085"/>
    </row>
    <row r="91" spans="1:35" ht="122.4" customHeight="1" thickBot="1" x14ac:dyDescent="0.55000000000000004">
      <c r="A91" s="344"/>
      <c r="B91" s="1313" t="s">
        <v>1655</v>
      </c>
      <c r="C91" s="1309"/>
      <c r="D91" s="385"/>
      <c r="E91" s="386">
        <v>0.1</v>
      </c>
      <c r="F91" s="387">
        <f>+E91*W91</f>
        <v>3.9149999999999997E-2</v>
      </c>
      <c r="G91" s="368"/>
      <c r="H91" s="346">
        <f>+E91*X91</f>
        <v>3.5996984972677594E-2</v>
      </c>
      <c r="I91" s="388">
        <f>+(I92+I101+I106)/3</f>
        <v>0.36897145335135689</v>
      </c>
      <c r="J91" s="388">
        <f>+(J92+J101+J106)/3</f>
        <v>0.37316486001714971</v>
      </c>
      <c r="K91" s="389">
        <f>+(K92+K101+K106)/3</f>
        <v>0.13546025296319508</v>
      </c>
      <c r="L91" s="389">
        <f>+(L92+L101+L106)/3</f>
        <v>0.19876656861431621</v>
      </c>
      <c r="M91" s="573"/>
      <c r="N91" s="390"/>
      <c r="O91" s="390"/>
      <c r="P91" s="390"/>
      <c r="Q91" s="390"/>
      <c r="R91" s="390"/>
      <c r="S91" s="390"/>
      <c r="T91" s="390"/>
      <c r="U91" s="391">
        <f>+(U92+U101+U106)/3</f>
        <v>0.8396825396825397</v>
      </c>
      <c r="V91" s="391">
        <f>+(V92+V101+V106)/3</f>
        <v>0.66509994615498125</v>
      </c>
      <c r="W91" s="347">
        <f>+W92+W101+W106</f>
        <v>0.39149999999999996</v>
      </c>
      <c r="X91" s="347">
        <f>+X92+X101+X106</f>
        <v>0.35996984972677593</v>
      </c>
      <c r="Y91" s="348">
        <f>(Y92+Y101+Y106)/3</f>
        <v>0.12107490645604667</v>
      </c>
      <c r="Z91" s="348">
        <f>(Z92+Z101+Z106)/3</f>
        <v>0.36954161861032914</v>
      </c>
      <c r="AA91" s="347">
        <f>(AA92+AA101+AA106)</f>
        <v>0.1147193821346188</v>
      </c>
      <c r="AB91" s="347">
        <f>(AB92*E92)+(AB101*E101)+(AB106*E106)</f>
        <v>0.34878279505494242</v>
      </c>
      <c r="AC91" s="1080"/>
      <c r="AD91" s="350"/>
      <c r="AE91" s="350"/>
      <c r="AF91" s="350"/>
      <c r="AG91" s="350"/>
      <c r="AH91" s="1088"/>
      <c r="AI91" s="1085"/>
    </row>
    <row r="92" spans="1:35" ht="122.4" customHeight="1" thickBot="1" x14ac:dyDescent="0.55000000000000004">
      <c r="A92" s="344"/>
      <c r="B92" s="1308" t="s">
        <v>1656</v>
      </c>
      <c r="C92" s="1310"/>
      <c r="D92" s="699"/>
      <c r="E92" s="349">
        <v>0.35</v>
      </c>
      <c r="F92" s="367"/>
      <c r="G92" s="368"/>
      <c r="H92" s="350"/>
      <c r="I92" s="369">
        <f>+AVERAGE(I93:I100)</f>
        <v>0.36703340767311832</v>
      </c>
      <c r="J92" s="369">
        <f>+AVERAGE(J93:J100)</f>
        <v>0.21758981814668724</v>
      </c>
      <c r="K92" s="370">
        <f>+K93+K94+K95+K96+K97+K98+K99+K100</f>
        <v>0.19522004460387099</v>
      </c>
      <c r="L92" s="370">
        <f>+L93+L94+L95+L96+L97+L98+L99+L100</f>
        <v>0.17639494393818686</v>
      </c>
      <c r="M92" s="358"/>
      <c r="N92" s="371"/>
      <c r="O92" s="371"/>
      <c r="P92" s="371"/>
      <c r="Q92" s="371"/>
      <c r="R92" s="371"/>
      <c r="S92" s="371"/>
      <c r="T92" s="371"/>
      <c r="U92" s="579">
        <f>+AVERAGE(U93:U100)</f>
        <v>1</v>
      </c>
      <c r="V92" s="836">
        <f>+AVERAGE(V93:V100)</f>
        <v>0.75411296977807518</v>
      </c>
      <c r="W92" s="392">
        <f>+(W93+W94+W95+W96+W97+W98+W99+W100)*E92</f>
        <v>0.17499999999999996</v>
      </c>
      <c r="X92" s="392">
        <f>+(X93+X94+X95+X96+X97+X98+X99+X100)*E92</f>
        <v>0.18496984972677594</v>
      </c>
      <c r="Y92" s="392">
        <f>+AVERAGE(Y93:Y100)</f>
        <v>0.1583199574633781</v>
      </c>
      <c r="Z92" s="392">
        <f>+AVERAGE(Z93:Z100)</f>
        <v>0.49420600662463821</v>
      </c>
      <c r="AA92" s="392">
        <f>+(AA93+AA94+AA95+AA96+AA97+AA98+AA99+AA100)*E92</f>
        <v>5.7744382134618799E-2</v>
      </c>
      <c r="AB92" s="392">
        <f>+(AB93+AB94+AB95+AB96+AB97+AB98+AB99+AB100)</f>
        <v>0.42700370015697831</v>
      </c>
      <c r="AC92" s="764"/>
      <c r="AD92" s="350"/>
      <c r="AE92" s="350"/>
      <c r="AF92" s="350"/>
      <c r="AG92" s="350"/>
      <c r="AH92" s="1088"/>
      <c r="AI92" s="1085"/>
    </row>
    <row r="93" spans="1:35" ht="122.4" customHeight="1" thickBot="1" x14ac:dyDescent="0.45">
      <c r="A93" s="344"/>
      <c r="B93" s="1229" t="s">
        <v>499</v>
      </c>
      <c r="C93" s="1204" t="s">
        <v>500</v>
      </c>
      <c r="D93" s="393" t="s">
        <v>501</v>
      </c>
      <c r="E93" s="379">
        <v>0.15</v>
      </c>
      <c r="F93" s="353">
        <v>7190</v>
      </c>
      <c r="G93" s="372">
        <v>515</v>
      </c>
      <c r="H93" s="373">
        <v>427</v>
      </c>
      <c r="I93" s="362"/>
      <c r="J93" s="362">
        <f t="shared" ref="J93:J118" si="37">+H93/F93</f>
        <v>5.9388038942976354E-2</v>
      </c>
      <c r="K93" s="363"/>
      <c r="L93" s="363">
        <f t="shared" ref="L93:L118" si="38">+(H93/F93)*E93</f>
        <v>8.9082058414464531E-3</v>
      </c>
      <c r="M93" s="358">
        <v>0</v>
      </c>
      <c r="N93" s="365">
        <v>0</v>
      </c>
      <c r="O93" s="359">
        <v>0</v>
      </c>
      <c r="P93" s="359">
        <v>0</v>
      </c>
      <c r="Q93" s="359">
        <v>0</v>
      </c>
      <c r="R93" s="359">
        <v>325</v>
      </c>
      <c r="S93" s="721">
        <f>+N93+O93+P93+Q93+R93</f>
        <v>325</v>
      </c>
      <c r="T93" s="358">
        <f t="shared" ref="T93:T99" si="39">+S93+M93</f>
        <v>325</v>
      </c>
      <c r="U93" s="360"/>
      <c r="V93" s="361">
        <f>+S93/H93</f>
        <v>0.76112412177985944</v>
      </c>
      <c r="W93" s="361"/>
      <c r="X93" s="361">
        <f>+V93*E93</f>
        <v>0.11416861826697891</v>
      </c>
      <c r="Y93" s="361">
        <v>0</v>
      </c>
      <c r="Z93" s="361">
        <f>+T93/F93</f>
        <v>4.5201668984700974E-2</v>
      </c>
      <c r="AA93" s="361">
        <f>+Y93*E93</f>
        <v>0</v>
      </c>
      <c r="AB93" s="361">
        <f t="shared" ref="AB93:AB100" si="40">+Z93*E93</f>
        <v>6.7802503477051457E-3</v>
      </c>
      <c r="AC93" s="648" t="s">
        <v>1850</v>
      </c>
      <c r="AD93" s="650" t="s">
        <v>1902</v>
      </c>
      <c r="AE93" s="650" t="s">
        <v>2272</v>
      </c>
      <c r="AF93" s="719" t="s">
        <v>2340</v>
      </c>
      <c r="AG93" s="719" t="s">
        <v>2397</v>
      </c>
      <c r="AH93" s="1087" t="s">
        <v>2447</v>
      </c>
      <c r="AI93" s="677" t="s">
        <v>2564</v>
      </c>
    </row>
    <row r="94" spans="1:35" ht="122.4" customHeight="1" thickBot="1" x14ac:dyDescent="0.45">
      <c r="A94" s="344"/>
      <c r="B94" s="1229" t="s">
        <v>502</v>
      </c>
      <c r="C94" s="1204" t="s">
        <v>503</v>
      </c>
      <c r="D94" s="394" t="s">
        <v>501</v>
      </c>
      <c r="E94" s="352">
        <v>0.1</v>
      </c>
      <c r="F94" s="353">
        <v>9</v>
      </c>
      <c r="G94" s="372">
        <v>0</v>
      </c>
      <c r="H94" s="373">
        <v>3</v>
      </c>
      <c r="I94" s="362"/>
      <c r="J94" s="362">
        <f t="shared" si="37"/>
        <v>0.33333333333333331</v>
      </c>
      <c r="K94" s="363"/>
      <c r="L94" s="363">
        <f t="shared" si="38"/>
        <v>3.3333333333333333E-2</v>
      </c>
      <c r="M94" s="358"/>
      <c r="N94" s="365">
        <v>0</v>
      </c>
      <c r="O94" s="359">
        <v>0</v>
      </c>
      <c r="P94" s="359">
        <v>0</v>
      </c>
      <c r="Q94" s="359"/>
      <c r="R94" s="359">
        <v>0.8</v>
      </c>
      <c r="S94" s="721">
        <f t="shared" ref="S94:S99" si="41">+N94+O94+P94+Q94+R94</f>
        <v>0.8</v>
      </c>
      <c r="T94" s="358">
        <f t="shared" si="39"/>
        <v>0.8</v>
      </c>
      <c r="U94" s="360"/>
      <c r="V94" s="361">
        <f>+S94/H94</f>
        <v>0.26666666666666666</v>
      </c>
      <c r="W94" s="361"/>
      <c r="X94" s="361">
        <f>+V94*E94</f>
        <v>2.6666666666666668E-2</v>
      </c>
      <c r="Y94" s="361">
        <v>0</v>
      </c>
      <c r="Z94" s="361">
        <f>+T94/F94</f>
        <v>8.8888888888888892E-2</v>
      </c>
      <c r="AA94" s="361"/>
      <c r="AB94" s="361">
        <f t="shared" si="40"/>
        <v>8.8888888888888889E-3</v>
      </c>
      <c r="AC94" s="648" t="s">
        <v>1850</v>
      </c>
      <c r="AD94" s="650" t="s">
        <v>1902</v>
      </c>
      <c r="AE94" s="650" t="s">
        <v>2272</v>
      </c>
      <c r="AF94" s="1087" t="s">
        <v>2297</v>
      </c>
      <c r="AG94" s="1087" t="s">
        <v>2412</v>
      </c>
      <c r="AH94" s="1087" t="s">
        <v>2447</v>
      </c>
      <c r="AI94" s="677" t="s">
        <v>2564</v>
      </c>
    </row>
    <row r="95" spans="1:35" ht="122.4" customHeight="1" thickBot="1" x14ac:dyDescent="0.45">
      <c r="A95" s="344"/>
      <c r="B95" s="1229" t="s">
        <v>504</v>
      </c>
      <c r="C95" s="1204" t="s">
        <v>505</v>
      </c>
      <c r="D95" s="700" t="s">
        <v>501</v>
      </c>
      <c r="E95" s="352">
        <v>0.15</v>
      </c>
      <c r="F95" s="353">
        <v>6</v>
      </c>
      <c r="G95" s="372">
        <v>4</v>
      </c>
      <c r="H95" s="373">
        <v>0</v>
      </c>
      <c r="I95" s="362">
        <f>+G95/F95</f>
        <v>0.66666666666666663</v>
      </c>
      <c r="J95" s="362">
        <f t="shared" si="37"/>
        <v>0</v>
      </c>
      <c r="K95" s="363">
        <f>+(G95/F95)*E95</f>
        <v>9.9999999999999992E-2</v>
      </c>
      <c r="L95" s="363">
        <f t="shared" si="38"/>
        <v>0</v>
      </c>
      <c r="M95" s="358">
        <v>5</v>
      </c>
      <c r="N95" s="365"/>
      <c r="O95" s="359"/>
      <c r="P95" s="359"/>
      <c r="Q95" s="359"/>
      <c r="R95" s="359">
        <v>1</v>
      </c>
      <c r="S95" s="721">
        <f t="shared" si="41"/>
        <v>1</v>
      </c>
      <c r="T95" s="358">
        <f t="shared" si="39"/>
        <v>6</v>
      </c>
      <c r="U95" s="360">
        <v>1</v>
      </c>
      <c r="V95" s="361"/>
      <c r="W95" s="361">
        <f>+U95*E95</f>
        <v>0.15</v>
      </c>
      <c r="X95" s="361"/>
      <c r="Y95" s="361">
        <f>+M95/F95</f>
        <v>0.83333333333333337</v>
      </c>
      <c r="Z95" s="361">
        <f>+T95/F95</f>
        <v>1</v>
      </c>
      <c r="AA95" s="361">
        <f>+Y95*E95</f>
        <v>0.125</v>
      </c>
      <c r="AB95" s="361">
        <f t="shared" si="40"/>
        <v>0.15</v>
      </c>
      <c r="AC95" s="648" t="s">
        <v>1850</v>
      </c>
      <c r="AD95" s="650" t="s">
        <v>1902</v>
      </c>
      <c r="AE95" s="650" t="s">
        <v>2272</v>
      </c>
      <c r="AF95" s="1087" t="s">
        <v>2297</v>
      </c>
      <c r="AG95" s="1087" t="s">
        <v>2412</v>
      </c>
      <c r="AH95" s="1087" t="s">
        <v>2447</v>
      </c>
      <c r="AI95" s="677" t="s">
        <v>2564</v>
      </c>
    </row>
    <row r="96" spans="1:35" ht="122.4" customHeight="1" thickBot="1" x14ac:dyDescent="0.45">
      <c r="A96" s="344"/>
      <c r="B96" s="1206" t="s">
        <v>506</v>
      </c>
      <c r="C96" s="1195" t="s">
        <v>507</v>
      </c>
      <c r="D96" s="394" t="s">
        <v>501</v>
      </c>
      <c r="E96" s="352">
        <v>0.15</v>
      </c>
      <c r="F96" s="353">
        <v>448800</v>
      </c>
      <c r="G96" s="372">
        <v>65000</v>
      </c>
      <c r="H96" s="373">
        <v>110000</v>
      </c>
      <c r="I96" s="362">
        <f>+G96/F96</f>
        <v>0.14483065953654189</v>
      </c>
      <c r="J96" s="362">
        <f t="shared" si="37"/>
        <v>0.24509803921568626</v>
      </c>
      <c r="K96" s="363">
        <f>+(G96/F96)*E96</f>
        <v>2.1724598930481284E-2</v>
      </c>
      <c r="L96" s="363">
        <f t="shared" si="38"/>
        <v>3.6764705882352935E-2</v>
      </c>
      <c r="M96" s="358">
        <v>79458</v>
      </c>
      <c r="N96" s="365">
        <v>24490</v>
      </c>
      <c r="O96" s="359">
        <v>26060</v>
      </c>
      <c r="P96" s="359">
        <v>22190</v>
      </c>
      <c r="Q96" s="359">
        <v>51750</v>
      </c>
      <c r="R96" s="359">
        <v>0</v>
      </c>
      <c r="S96" s="721">
        <f t="shared" si="41"/>
        <v>124490</v>
      </c>
      <c r="T96" s="358">
        <f t="shared" si="39"/>
        <v>203948</v>
      </c>
      <c r="U96" s="360">
        <v>1</v>
      </c>
      <c r="V96" s="361">
        <v>1</v>
      </c>
      <c r="W96" s="361">
        <f>+U96*E96</f>
        <v>0.15</v>
      </c>
      <c r="X96" s="361">
        <f>+V96*E96</f>
        <v>0.15</v>
      </c>
      <c r="Y96" s="361">
        <f>+M96/F96</f>
        <v>0.17704545454545453</v>
      </c>
      <c r="Z96" s="361">
        <f>+T96/F96</f>
        <v>0.45442959001782529</v>
      </c>
      <c r="AA96" s="361">
        <f>+Y96*E96</f>
        <v>2.6556818181818178E-2</v>
      </c>
      <c r="AB96" s="361">
        <f t="shared" si="40"/>
        <v>6.8164438502673785E-2</v>
      </c>
      <c r="AC96" s="648" t="s">
        <v>1850</v>
      </c>
      <c r="AD96" s="650" t="s">
        <v>1902</v>
      </c>
      <c r="AE96" s="650" t="s">
        <v>2272</v>
      </c>
      <c r="AF96" s="1087" t="s">
        <v>2297</v>
      </c>
      <c r="AG96" s="1087" t="s">
        <v>2412</v>
      </c>
      <c r="AH96" s="1087" t="s">
        <v>2447</v>
      </c>
      <c r="AI96" s="677" t="s">
        <v>2564</v>
      </c>
    </row>
    <row r="97" spans="1:35" ht="122.4" customHeight="1" thickBot="1" x14ac:dyDescent="0.45">
      <c r="A97" s="344"/>
      <c r="B97" s="1229" t="s">
        <v>508</v>
      </c>
      <c r="C97" s="1204" t="s">
        <v>509</v>
      </c>
      <c r="D97" s="700" t="s">
        <v>501</v>
      </c>
      <c r="E97" s="352">
        <v>0.15</v>
      </c>
      <c r="F97" s="353">
        <v>12296</v>
      </c>
      <c r="G97" s="372">
        <v>5000</v>
      </c>
      <c r="H97" s="373">
        <v>4000</v>
      </c>
      <c r="I97" s="362">
        <f>+G97/F97</f>
        <v>0.4066363044892648</v>
      </c>
      <c r="J97" s="362">
        <f t="shared" si="37"/>
        <v>0.32530904359141183</v>
      </c>
      <c r="K97" s="363">
        <f>+(G97/F97)*E97</f>
        <v>6.0995445673389714E-2</v>
      </c>
      <c r="L97" s="363">
        <f t="shared" si="38"/>
        <v>4.8796356538711776E-2</v>
      </c>
      <c r="M97" s="358">
        <v>76</v>
      </c>
      <c r="N97" s="365">
        <v>0</v>
      </c>
      <c r="O97" s="359">
        <v>0</v>
      </c>
      <c r="P97" s="359">
        <v>0</v>
      </c>
      <c r="Q97" s="359">
        <v>0</v>
      </c>
      <c r="R97" s="359">
        <v>1004</v>
      </c>
      <c r="S97" s="721">
        <f t="shared" si="41"/>
        <v>1004</v>
      </c>
      <c r="T97" s="358">
        <f t="shared" si="39"/>
        <v>1080</v>
      </c>
      <c r="U97" s="360">
        <v>1</v>
      </c>
      <c r="V97" s="361">
        <f>+S97/H97</f>
        <v>0.251</v>
      </c>
      <c r="W97" s="361">
        <f>+U97*E97</f>
        <v>0.15</v>
      </c>
      <c r="X97" s="361">
        <f>+V97*E97</f>
        <v>3.7649999999999996E-2</v>
      </c>
      <c r="Y97" s="361">
        <f>+M97/F97</f>
        <v>6.1808718282368247E-3</v>
      </c>
      <c r="Z97" s="361">
        <f>+(T97+6449)/F97</f>
        <v>0.61231294729993491</v>
      </c>
      <c r="AA97" s="361">
        <f>+Y97*E97</f>
        <v>9.2713077423552364E-4</v>
      </c>
      <c r="AB97" s="361">
        <f t="shared" si="40"/>
        <v>9.1846942094990239E-2</v>
      </c>
      <c r="AC97" s="648" t="s">
        <v>1850</v>
      </c>
      <c r="AD97" s="650" t="s">
        <v>1902</v>
      </c>
      <c r="AE97" s="650" t="s">
        <v>2272</v>
      </c>
      <c r="AF97" s="1087" t="s">
        <v>2297</v>
      </c>
      <c r="AG97" s="1087" t="s">
        <v>2412</v>
      </c>
      <c r="AH97" s="1087" t="s">
        <v>2447</v>
      </c>
      <c r="AI97" s="677" t="s">
        <v>2564</v>
      </c>
    </row>
    <row r="98" spans="1:35" ht="122.4" customHeight="1" thickBot="1" x14ac:dyDescent="0.45">
      <c r="A98" s="344"/>
      <c r="B98" s="1206" t="s">
        <v>510</v>
      </c>
      <c r="C98" s="1195" t="s">
        <v>511</v>
      </c>
      <c r="D98" s="394" t="s">
        <v>501</v>
      </c>
      <c r="E98" s="352">
        <v>0.1</v>
      </c>
      <c r="F98" s="353">
        <v>592</v>
      </c>
      <c r="G98" s="372">
        <v>0</v>
      </c>
      <c r="H98" s="373">
        <v>115</v>
      </c>
      <c r="I98" s="362"/>
      <c r="J98" s="362">
        <f t="shared" si="37"/>
        <v>0.19425675675675674</v>
      </c>
      <c r="K98" s="363"/>
      <c r="L98" s="363">
        <f t="shared" si="38"/>
        <v>1.9425675675675675E-2</v>
      </c>
      <c r="M98" s="358"/>
      <c r="N98" s="365">
        <v>0</v>
      </c>
      <c r="O98" s="359">
        <v>0</v>
      </c>
      <c r="P98" s="359">
        <v>0</v>
      </c>
      <c r="Q98" s="359">
        <v>0</v>
      </c>
      <c r="R98" s="359">
        <v>162</v>
      </c>
      <c r="S98" s="721">
        <f>+N98+O98+P98+Q98+R98</f>
        <v>162</v>
      </c>
      <c r="T98" s="358">
        <f t="shared" si="39"/>
        <v>162</v>
      </c>
      <c r="U98" s="360"/>
      <c r="V98" s="361">
        <v>1</v>
      </c>
      <c r="W98" s="361"/>
      <c r="X98" s="361">
        <f>+V98*E98</f>
        <v>0.1</v>
      </c>
      <c r="Y98" s="361">
        <v>0</v>
      </c>
      <c r="Z98" s="361">
        <f>+T98/F98</f>
        <v>0.27364864864864863</v>
      </c>
      <c r="AA98" s="361"/>
      <c r="AB98" s="361">
        <f t="shared" si="40"/>
        <v>2.7364864864864863E-2</v>
      </c>
      <c r="AC98" s="648" t="s">
        <v>1850</v>
      </c>
      <c r="AD98" s="719" t="s">
        <v>1920</v>
      </c>
      <c r="AE98" s="650" t="s">
        <v>2272</v>
      </c>
      <c r="AF98" s="1087" t="s">
        <v>2297</v>
      </c>
      <c r="AG98" s="1087" t="s">
        <v>2412</v>
      </c>
      <c r="AH98" s="1087" t="s">
        <v>2447</v>
      </c>
      <c r="AI98" s="677" t="s">
        <v>2564</v>
      </c>
    </row>
    <row r="99" spans="1:35" ht="122.4" customHeight="1" thickBot="1" x14ac:dyDescent="0.45">
      <c r="A99" s="344"/>
      <c r="B99" s="1206" t="s">
        <v>512</v>
      </c>
      <c r="C99" s="1195" t="s">
        <v>513</v>
      </c>
      <c r="D99" s="394" t="s">
        <v>501</v>
      </c>
      <c r="E99" s="352">
        <v>0.05</v>
      </c>
      <c r="F99" s="353">
        <v>45</v>
      </c>
      <c r="G99" s="372">
        <v>0</v>
      </c>
      <c r="H99" s="373">
        <v>15</v>
      </c>
      <c r="I99" s="362"/>
      <c r="J99" s="362">
        <f t="shared" si="37"/>
        <v>0.33333333333333331</v>
      </c>
      <c r="K99" s="363"/>
      <c r="L99" s="363">
        <f t="shared" si="38"/>
        <v>1.6666666666666666E-2</v>
      </c>
      <c r="M99" s="358"/>
      <c r="N99" s="365"/>
      <c r="O99" s="359">
        <v>0</v>
      </c>
      <c r="P99" s="359">
        <v>0</v>
      </c>
      <c r="Q99" s="359">
        <v>0</v>
      </c>
      <c r="R99" s="359">
        <v>45</v>
      </c>
      <c r="S99" s="721">
        <f t="shared" si="41"/>
        <v>45</v>
      </c>
      <c r="T99" s="358">
        <f t="shared" si="39"/>
        <v>45</v>
      </c>
      <c r="U99" s="360"/>
      <c r="V99" s="361">
        <v>1</v>
      </c>
      <c r="W99" s="361"/>
      <c r="X99" s="361">
        <f>+V99*E99</f>
        <v>0.05</v>
      </c>
      <c r="Y99" s="361">
        <v>0</v>
      </c>
      <c r="Z99" s="361">
        <f>+T99/F99</f>
        <v>1</v>
      </c>
      <c r="AA99" s="361"/>
      <c r="AB99" s="361">
        <f t="shared" si="40"/>
        <v>0.05</v>
      </c>
      <c r="AC99" s="648" t="s">
        <v>1850</v>
      </c>
      <c r="AD99" s="650" t="s">
        <v>1902</v>
      </c>
      <c r="AE99" s="650" t="s">
        <v>2272</v>
      </c>
      <c r="AF99" s="1087" t="s">
        <v>2297</v>
      </c>
      <c r="AG99" s="1087" t="s">
        <v>2412</v>
      </c>
      <c r="AH99" s="1087" t="s">
        <v>2447</v>
      </c>
      <c r="AI99" s="677" t="s">
        <v>2564</v>
      </c>
    </row>
    <row r="100" spans="1:35" ht="262.2" customHeight="1" thickBot="1" x14ac:dyDescent="0.45">
      <c r="A100" s="344"/>
      <c r="B100" s="1206" t="s">
        <v>514</v>
      </c>
      <c r="C100" s="1195" t="s">
        <v>515</v>
      </c>
      <c r="D100" s="394" t="s">
        <v>516</v>
      </c>
      <c r="E100" s="352">
        <v>0.05</v>
      </c>
      <c r="F100" s="395">
        <f>699282*4</f>
        <v>2797128</v>
      </c>
      <c r="G100" s="372">
        <f>246152+171307+281823</f>
        <v>699282</v>
      </c>
      <c r="H100" s="373">
        <v>699282</v>
      </c>
      <c r="I100" s="362">
        <f>+G100/F100</f>
        <v>0.25</v>
      </c>
      <c r="J100" s="362">
        <f t="shared" si="37"/>
        <v>0.25</v>
      </c>
      <c r="K100" s="363">
        <f>+(G100/F100)*E100</f>
        <v>1.2500000000000001E-2</v>
      </c>
      <c r="L100" s="363">
        <f t="shared" si="38"/>
        <v>1.2500000000000001E-2</v>
      </c>
      <c r="M100" s="358">
        <f>246152+171307+281823</f>
        <v>699282</v>
      </c>
      <c r="N100" s="365">
        <v>174820.5</v>
      </c>
      <c r="O100" s="365">
        <v>174820.5</v>
      </c>
      <c r="P100" s="365">
        <v>174820.5</v>
      </c>
      <c r="Q100" s="365">
        <v>58273</v>
      </c>
      <c r="R100" s="365">
        <v>58273</v>
      </c>
      <c r="S100" s="721">
        <f>+N100+O100+P100+Q100+R100</f>
        <v>641007.5</v>
      </c>
      <c r="T100" s="364">
        <f>+S100+M100</f>
        <v>1340289.5</v>
      </c>
      <c r="U100" s="360">
        <f>+(M100/G100)</f>
        <v>1</v>
      </c>
      <c r="V100" s="361">
        <v>1</v>
      </c>
      <c r="W100" s="361">
        <f>+U100*E100</f>
        <v>0.05</v>
      </c>
      <c r="X100" s="361">
        <f>+V100*E100</f>
        <v>0.05</v>
      </c>
      <c r="Y100" s="361">
        <f>+M100/F100</f>
        <v>0.25</v>
      </c>
      <c r="Z100" s="366">
        <f>+T100/F100</f>
        <v>0.47916630915710684</v>
      </c>
      <c r="AA100" s="361">
        <f>+Y100*E100</f>
        <v>1.2500000000000001E-2</v>
      </c>
      <c r="AB100" s="361">
        <f t="shared" si="40"/>
        <v>2.3958315457855345E-2</v>
      </c>
      <c r="AC100" s="648" t="s">
        <v>1850</v>
      </c>
      <c r="AD100" s="719" t="s">
        <v>1943</v>
      </c>
      <c r="AE100" s="650" t="s">
        <v>2272</v>
      </c>
      <c r="AF100" s="1087" t="s">
        <v>2297</v>
      </c>
      <c r="AG100" s="1087" t="s">
        <v>2412</v>
      </c>
      <c r="AH100" s="1087" t="s">
        <v>2447</v>
      </c>
      <c r="AI100" s="677" t="s">
        <v>2564</v>
      </c>
    </row>
    <row r="101" spans="1:35" ht="122.4" customHeight="1" thickBot="1" x14ac:dyDescent="0.55000000000000004">
      <c r="A101" s="344"/>
      <c r="B101" s="1308" t="s">
        <v>1657</v>
      </c>
      <c r="C101" s="1310"/>
      <c r="D101" s="394"/>
      <c r="E101" s="349">
        <v>0.35</v>
      </c>
      <c r="F101" s="353"/>
      <c r="G101" s="372"/>
      <c r="H101" s="373"/>
      <c r="I101" s="369">
        <f>+AVERAGE(I102:I105)</f>
        <v>0.11488095238095238</v>
      </c>
      <c r="J101" s="369">
        <f>+AVERAGE(J102:J105)</f>
        <v>0.27142857142857141</v>
      </c>
      <c r="K101" s="370">
        <f>+K102+K103+K104+K105</f>
        <v>8.6160714285714285E-2</v>
      </c>
      <c r="L101" s="370">
        <f>+L102+L103+L104+L105</f>
        <v>0.20357142857142857</v>
      </c>
      <c r="M101" s="358"/>
      <c r="N101" s="371"/>
      <c r="O101" s="371"/>
      <c r="P101" s="371"/>
      <c r="Q101" s="371"/>
      <c r="R101" s="371"/>
      <c r="S101" s="371"/>
      <c r="T101" s="371"/>
      <c r="U101" s="579">
        <f>+AVERAGE(U102:U105)</f>
        <v>0.61904761904761907</v>
      </c>
      <c r="V101" s="579">
        <f>+AVERAGE(V102:V105)</f>
        <v>0.66666666666666663</v>
      </c>
      <c r="W101" s="392">
        <f>+(W102+W103+W104+W105)*E101</f>
        <v>0.16250000000000001</v>
      </c>
      <c r="X101" s="392">
        <f>+(X102+X103+X104+X105)*E101</f>
        <v>0.17499999999999999</v>
      </c>
      <c r="Y101" s="351">
        <f>+AVERAGE(Y102:Y105)</f>
        <v>7.9904761904761909E-2</v>
      </c>
      <c r="Z101" s="351">
        <f>+Y101+((Z102-Y102)/4)+ ((Z103-Y103)/7)+((Z104-Y104)/4)</f>
        <v>0.28676190476190477</v>
      </c>
      <c r="AA101" s="351">
        <f>+(AA102+AA103+AA104+AA105)*E101</f>
        <v>2.0974999999999997E-2</v>
      </c>
      <c r="AB101" s="351">
        <f>+(AB102+AB103+AB104+AB105)</f>
        <v>0.26678571428571429</v>
      </c>
      <c r="AC101" s="764"/>
      <c r="AD101" s="350"/>
      <c r="AE101" s="350"/>
      <c r="AF101" s="350"/>
      <c r="AG101" s="350"/>
      <c r="AH101" s="1088"/>
      <c r="AI101" s="1085"/>
    </row>
    <row r="102" spans="1:35" ht="122.4" customHeight="1" thickBot="1" x14ac:dyDescent="0.45">
      <c r="A102" s="344"/>
      <c r="B102" s="1206" t="s">
        <v>517</v>
      </c>
      <c r="C102" s="1195" t="s">
        <v>518</v>
      </c>
      <c r="D102" s="700" t="s">
        <v>501</v>
      </c>
      <c r="E102" s="352">
        <v>0.25</v>
      </c>
      <c r="F102" s="353">
        <v>7000</v>
      </c>
      <c r="G102" s="372">
        <v>400</v>
      </c>
      <c r="H102" s="373">
        <v>2200</v>
      </c>
      <c r="I102" s="362">
        <f>+G102/F102</f>
        <v>5.7142857142857141E-2</v>
      </c>
      <c r="J102" s="362">
        <f t="shared" si="37"/>
        <v>0.31428571428571428</v>
      </c>
      <c r="K102" s="363">
        <f>+(G102/F102)*E102</f>
        <v>1.4285714285714285E-2</v>
      </c>
      <c r="L102" s="363">
        <f t="shared" si="38"/>
        <v>7.857142857142857E-2</v>
      </c>
      <c r="M102" s="358">
        <v>1153</v>
      </c>
      <c r="N102" s="365">
        <v>524</v>
      </c>
      <c r="O102" s="359">
        <v>528</v>
      </c>
      <c r="P102" s="359">
        <v>530</v>
      </c>
      <c r="Q102" s="359">
        <v>1547</v>
      </c>
      <c r="R102" s="359">
        <v>870</v>
      </c>
      <c r="S102" s="721">
        <f>+N102+O102+P102+Q102+R102</f>
        <v>3999</v>
      </c>
      <c r="T102" s="358">
        <f>+S102+M102+393</f>
        <v>5545</v>
      </c>
      <c r="U102" s="360">
        <v>1</v>
      </c>
      <c r="V102" s="361">
        <v>1</v>
      </c>
      <c r="W102" s="361">
        <f>+U102*E102</f>
        <v>0.25</v>
      </c>
      <c r="X102" s="361">
        <f>+V102*E102</f>
        <v>0.25</v>
      </c>
      <c r="Y102" s="361">
        <f>+M102/F102</f>
        <v>0.1647142857142857</v>
      </c>
      <c r="Z102" s="361">
        <f>+T102/F102</f>
        <v>0.79214285714285715</v>
      </c>
      <c r="AA102" s="361">
        <f>+Y102*E102</f>
        <v>4.1178571428571425E-2</v>
      </c>
      <c r="AB102" s="361">
        <f>+Z102*E102</f>
        <v>0.19803571428571429</v>
      </c>
      <c r="AC102" s="648" t="s">
        <v>1850</v>
      </c>
      <c r="AD102" s="650" t="s">
        <v>1902</v>
      </c>
      <c r="AE102" s="650" t="s">
        <v>2272</v>
      </c>
      <c r="AF102" s="1087" t="s">
        <v>2297</v>
      </c>
      <c r="AG102" s="1087" t="s">
        <v>2412</v>
      </c>
      <c r="AH102" s="1087" t="s">
        <v>2447</v>
      </c>
      <c r="AI102" s="677" t="s">
        <v>2564</v>
      </c>
    </row>
    <row r="103" spans="1:35" ht="122.4" customHeight="1" thickBot="1" x14ac:dyDescent="0.45">
      <c r="A103" s="344"/>
      <c r="B103" s="1206" t="s">
        <v>519</v>
      </c>
      <c r="C103" s="1195" t="s">
        <v>520</v>
      </c>
      <c r="D103" s="394" t="s">
        <v>501</v>
      </c>
      <c r="E103" s="352">
        <v>0.25</v>
      </c>
      <c r="F103" s="353">
        <v>800</v>
      </c>
      <c r="G103" s="372">
        <v>70</v>
      </c>
      <c r="H103" s="373">
        <v>240</v>
      </c>
      <c r="I103" s="362">
        <f>+G103/F103</f>
        <v>8.7499999999999994E-2</v>
      </c>
      <c r="J103" s="362">
        <f t="shared" si="37"/>
        <v>0.3</v>
      </c>
      <c r="K103" s="363">
        <f>+(G103/F103)*E103</f>
        <v>2.1874999999999999E-2</v>
      </c>
      <c r="L103" s="363">
        <f t="shared" si="38"/>
        <v>7.4999999999999997E-2</v>
      </c>
      <c r="M103" s="358">
        <v>60</v>
      </c>
      <c r="N103" s="365">
        <v>0</v>
      </c>
      <c r="O103" s="359">
        <v>0</v>
      </c>
      <c r="P103" s="359">
        <v>0</v>
      </c>
      <c r="Q103" s="359">
        <v>0</v>
      </c>
      <c r="R103" s="359">
        <v>0</v>
      </c>
      <c r="S103" s="721">
        <f t="shared" ref="S103:S105" si="42">+N103+O103+P103+Q103+R103</f>
        <v>0</v>
      </c>
      <c r="T103" s="358">
        <f>+S103+M103</f>
        <v>60</v>
      </c>
      <c r="U103" s="360">
        <f>+(M103/G103)</f>
        <v>0.8571428571428571</v>
      </c>
      <c r="V103" s="361">
        <f>+S103/H103</f>
        <v>0</v>
      </c>
      <c r="W103" s="361">
        <f>+U103*E103</f>
        <v>0.21428571428571427</v>
      </c>
      <c r="X103" s="361">
        <f>+V103*E103</f>
        <v>0</v>
      </c>
      <c r="Y103" s="361">
        <f>+M103/F103</f>
        <v>7.4999999999999997E-2</v>
      </c>
      <c r="Z103" s="361">
        <f>+T103/F103</f>
        <v>7.4999999999999997E-2</v>
      </c>
      <c r="AA103" s="361">
        <f>+Y103*E103</f>
        <v>1.8749999999999999E-2</v>
      </c>
      <c r="AB103" s="361">
        <f>+Z103*E103</f>
        <v>1.8749999999999999E-2</v>
      </c>
      <c r="AC103" s="648" t="s">
        <v>1850</v>
      </c>
      <c r="AD103" s="650" t="s">
        <v>1902</v>
      </c>
      <c r="AE103" s="650" t="s">
        <v>2272</v>
      </c>
      <c r="AF103" s="1087" t="s">
        <v>2297</v>
      </c>
      <c r="AG103" s="1087" t="s">
        <v>2412</v>
      </c>
      <c r="AH103" s="1087" t="s">
        <v>2447</v>
      </c>
      <c r="AI103" s="677" t="s">
        <v>2564</v>
      </c>
    </row>
    <row r="104" spans="1:35" ht="122.4" customHeight="1" thickBot="1" x14ac:dyDescent="0.45">
      <c r="A104" s="344"/>
      <c r="B104" s="1206" t="s">
        <v>521</v>
      </c>
      <c r="C104" s="1195" t="s">
        <v>522</v>
      </c>
      <c r="D104" s="394" t="s">
        <v>516</v>
      </c>
      <c r="E104" s="352">
        <v>0.25</v>
      </c>
      <c r="F104" s="353">
        <v>5</v>
      </c>
      <c r="G104" s="372">
        <v>1</v>
      </c>
      <c r="H104" s="373">
        <v>1</v>
      </c>
      <c r="I104" s="362">
        <f>+G104/F104</f>
        <v>0.2</v>
      </c>
      <c r="J104" s="362">
        <f t="shared" si="37"/>
        <v>0.2</v>
      </c>
      <c r="K104" s="363">
        <f>+(G104/F104)*E104</f>
        <v>0.05</v>
      </c>
      <c r="L104" s="363">
        <f t="shared" si="38"/>
        <v>0.05</v>
      </c>
      <c r="M104" s="358">
        <v>0</v>
      </c>
      <c r="N104" s="365">
        <v>0</v>
      </c>
      <c r="O104" s="359">
        <v>0</v>
      </c>
      <c r="P104" s="359">
        <v>0</v>
      </c>
      <c r="Q104" s="359">
        <v>0</v>
      </c>
      <c r="R104" s="359">
        <v>1</v>
      </c>
      <c r="S104" s="721">
        <f t="shared" si="42"/>
        <v>1</v>
      </c>
      <c r="T104" s="358">
        <f>+S104+M104</f>
        <v>1</v>
      </c>
      <c r="U104" s="360">
        <f>+(M104/G104)</f>
        <v>0</v>
      </c>
      <c r="V104" s="361">
        <f>+S104/H104</f>
        <v>1</v>
      </c>
      <c r="W104" s="361">
        <f>+U104*E104</f>
        <v>0</v>
      </c>
      <c r="X104" s="361">
        <f>+V104*E104</f>
        <v>0.25</v>
      </c>
      <c r="Y104" s="361">
        <f>+M104/F104</f>
        <v>0</v>
      </c>
      <c r="Z104" s="361">
        <f>+T104/F104</f>
        <v>0.2</v>
      </c>
      <c r="AA104" s="361">
        <f>+Y104*E104</f>
        <v>0</v>
      </c>
      <c r="AB104" s="361">
        <f>+Z104*E104</f>
        <v>0.05</v>
      </c>
      <c r="AC104" s="648" t="s">
        <v>1850</v>
      </c>
      <c r="AD104" s="650" t="s">
        <v>1902</v>
      </c>
      <c r="AE104" s="650" t="s">
        <v>2272</v>
      </c>
      <c r="AF104" s="1087" t="s">
        <v>2297</v>
      </c>
      <c r="AG104" s="1087" t="s">
        <v>2412</v>
      </c>
      <c r="AH104" s="1087" t="s">
        <v>2447</v>
      </c>
      <c r="AI104" s="677" t="s">
        <v>2564</v>
      </c>
    </row>
    <row r="105" spans="1:35" ht="143.4" customHeight="1" thickBot="1" x14ac:dyDescent="0.45">
      <c r="A105" s="344"/>
      <c r="B105" s="1206" t="s">
        <v>523</v>
      </c>
      <c r="C105" s="1195" t="s">
        <v>524</v>
      </c>
      <c r="D105" s="394" t="s">
        <v>516</v>
      </c>
      <c r="E105" s="352">
        <v>0.25</v>
      </c>
      <c r="F105" s="353">
        <v>6</v>
      </c>
      <c r="G105" s="372">
        <v>0</v>
      </c>
      <c r="H105" s="373">
        <v>0</v>
      </c>
      <c r="I105" s="362"/>
      <c r="J105" s="362"/>
      <c r="K105" s="363"/>
      <c r="L105" s="363"/>
      <c r="M105" s="358"/>
      <c r="N105" s="365"/>
      <c r="O105" s="359"/>
      <c r="P105" s="359"/>
      <c r="Q105" s="359"/>
      <c r="R105" s="359"/>
      <c r="S105" s="721">
        <f t="shared" si="42"/>
        <v>0</v>
      </c>
      <c r="T105" s="358">
        <f>+S105+M105</f>
        <v>0</v>
      </c>
      <c r="U105" s="360"/>
      <c r="V105" s="361"/>
      <c r="W105" s="361"/>
      <c r="X105" s="361"/>
      <c r="Y105" s="361"/>
      <c r="Z105" s="361"/>
      <c r="AA105" s="361"/>
      <c r="AB105" s="361">
        <f>+Z105*E105</f>
        <v>0</v>
      </c>
      <c r="AC105" s="648" t="s">
        <v>1850</v>
      </c>
      <c r="AD105" s="650" t="s">
        <v>1902</v>
      </c>
      <c r="AE105" s="650" t="s">
        <v>2272</v>
      </c>
      <c r="AF105" s="1087" t="s">
        <v>2297</v>
      </c>
      <c r="AG105" s="1087" t="s">
        <v>2412</v>
      </c>
      <c r="AH105" s="1087" t="s">
        <v>2447</v>
      </c>
      <c r="AI105" s="677" t="s">
        <v>2564</v>
      </c>
    </row>
    <row r="106" spans="1:35" ht="127.8" customHeight="1" thickBot="1" x14ac:dyDescent="0.55000000000000004">
      <c r="A106" s="344"/>
      <c r="B106" s="1308" t="s">
        <v>1658</v>
      </c>
      <c r="C106" s="1310"/>
      <c r="D106" s="394"/>
      <c r="E106" s="349">
        <v>0.3</v>
      </c>
      <c r="F106" s="353"/>
      <c r="G106" s="372"/>
      <c r="H106" s="373"/>
      <c r="I106" s="369">
        <f>+AVERAGE(I107:I118)</f>
        <v>0.625</v>
      </c>
      <c r="J106" s="369">
        <f>+AVERAGE(J107:J118)</f>
        <v>0.63047619047619041</v>
      </c>
      <c r="K106" s="370">
        <f>+K107+K108+K109+K110+K111+K112+K113+K114+K115+K116+K117+K118</f>
        <v>0.125</v>
      </c>
      <c r="L106" s="370">
        <f>+L107+L108+L109+L110+L111+L112+L113+L114+L115+L116+L117+L118</f>
        <v>0.21633333333333332</v>
      </c>
      <c r="M106" s="358"/>
      <c r="N106" s="371"/>
      <c r="O106" s="371"/>
      <c r="P106" s="371"/>
      <c r="Q106" s="371"/>
      <c r="R106" s="371"/>
      <c r="S106" s="371"/>
      <c r="T106" s="371"/>
      <c r="U106" s="579">
        <f>+AVERAGE(U107:U118)</f>
        <v>0.9</v>
      </c>
      <c r="V106" s="579">
        <f>+AVERAGE(V107:V118)</f>
        <v>0.57452020202020193</v>
      </c>
      <c r="W106" s="392">
        <f>+(W107+W108+W109+W110+W111+W112+W113+W114+W115+W116+W117+W118)*E106</f>
        <v>5.4000000000000006E-2</v>
      </c>
      <c r="X106" s="392">
        <f>+(X107+X108+X109+X110+X111+X112+X113+X114+X115+X116+X117+X118)*F106</f>
        <v>0</v>
      </c>
      <c r="Y106" s="351">
        <v>0.125</v>
      </c>
      <c r="Z106" s="351">
        <f>+AVERAGE(Z107:Z118)</f>
        <v>0.32765694444444443</v>
      </c>
      <c r="AA106" s="351">
        <f>+(AA107+AA108+AA109+AA110+AA111+AA112+AA113+AA114+AA115+AA116+AA117+AA118)*E106</f>
        <v>3.6000000000000004E-2</v>
      </c>
      <c r="AB106" s="351">
        <f>+(AB107+AB108+AB109+AB110+AB111+AB112+AB113+AB114+AB115+AB116+AB117+AB118)</f>
        <v>0.35318833333333338</v>
      </c>
      <c r="AC106" s="437" t="s">
        <v>1590</v>
      </c>
      <c r="AD106" s="350"/>
      <c r="AE106" s="350"/>
      <c r="AF106" s="350"/>
      <c r="AG106" s="350"/>
      <c r="AH106" s="1088"/>
      <c r="AI106" s="1085"/>
    </row>
    <row r="107" spans="1:35" ht="122.4" customHeight="1" thickBot="1" x14ac:dyDescent="0.55000000000000004">
      <c r="A107" s="344"/>
      <c r="B107" s="1229" t="s">
        <v>525</v>
      </c>
      <c r="C107" s="1204" t="s">
        <v>526</v>
      </c>
      <c r="D107" s="394" t="s">
        <v>516</v>
      </c>
      <c r="E107" s="352">
        <v>0.1</v>
      </c>
      <c r="F107" s="353">
        <v>1</v>
      </c>
      <c r="G107" s="372">
        <v>1</v>
      </c>
      <c r="H107" s="373">
        <v>1</v>
      </c>
      <c r="I107" s="362">
        <f>+G107/F107</f>
        <v>1</v>
      </c>
      <c r="J107" s="362">
        <f t="shared" si="37"/>
        <v>1</v>
      </c>
      <c r="K107" s="363">
        <f>+(G107/F107)*E107</f>
        <v>0.1</v>
      </c>
      <c r="L107" s="363"/>
      <c r="M107" s="358">
        <v>1</v>
      </c>
      <c r="N107" s="365"/>
      <c r="O107" s="359"/>
      <c r="P107" s="359"/>
      <c r="Q107" s="359"/>
      <c r="R107" s="359"/>
      <c r="S107" s="721">
        <f>+N107+O107+P107+Q107+R107</f>
        <v>0</v>
      </c>
      <c r="T107" s="358">
        <f t="shared" ref="T107:T118" si="43">+S107+M107</f>
        <v>1</v>
      </c>
      <c r="U107" s="360">
        <f>+(M107/G107)</f>
        <v>1</v>
      </c>
      <c r="V107" s="361"/>
      <c r="W107" s="361">
        <f>+U107*E107</f>
        <v>0.1</v>
      </c>
      <c r="X107" s="361"/>
      <c r="Y107" s="361">
        <f>+M107/F107</f>
        <v>1</v>
      </c>
      <c r="Z107" s="361">
        <f>+T107/F107</f>
        <v>1</v>
      </c>
      <c r="AA107" s="361">
        <f>+Y107*E107</f>
        <v>0.1</v>
      </c>
      <c r="AB107" s="361">
        <f t="shared" ref="AB107:AB118" si="44">+Z107*E107</f>
        <v>0.1</v>
      </c>
      <c r="AC107" s="1079"/>
      <c r="AD107" s="650" t="s">
        <v>1944</v>
      </c>
      <c r="AE107" s="350"/>
      <c r="AF107" s="719" t="s">
        <v>1865</v>
      </c>
      <c r="AG107" s="1087" t="s">
        <v>2412</v>
      </c>
      <c r="AH107" s="1087" t="s">
        <v>2447</v>
      </c>
      <c r="AI107" s="1085"/>
    </row>
    <row r="108" spans="1:35" ht="122.4" customHeight="1" thickBot="1" x14ac:dyDescent="0.55000000000000004">
      <c r="A108" s="344"/>
      <c r="B108" s="1206" t="s">
        <v>527</v>
      </c>
      <c r="C108" s="1195" t="s">
        <v>528</v>
      </c>
      <c r="D108" s="394" t="s">
        <v>516</v>
      </c>
      <c r="E108" s="352">
        <v>0.1</v>
      </c>
      <c r="F108" s="353">
        <v>4</v>
      </c>
      <c r="G108" s="372">
        <v>1</v>
      </c>
      <c r="H108" s="951">
        <v>1</v>
      </c>
      <c r="I108" s="362">
        <f>+G108/F108</f>
        <v>0.25</v>
      </c>
      <c r="J108" s="362">
        <f t="shared" si="37"/>
        <v>0.25</v>
      </c>
      <c r="K108" s="363">
        <f>+(G108/F108)*E108</f>
        <v>2.5000000000000001E-2</v>
      </c>
      <c r="L108" s="363">
        <f t="shared" si="38"/>
        <v>2.5000000000000001E-2</v>
      </c>
      <c r="M108" s="721">
        <v>0.8</v>
      </c>
      <c r="N108" s="365">
        <v>0</v>
      </c>
      <c r="O108" s="359">
        <v>1</v>
      </c>
      <c r="P108" s="359">
        <v>0</v>
      </c>
      <c r="Q108" s="359">
        <v>0</v>
      </c>
      <c r="R108" s="359"/>
      <c r="S108" s="721">
        <f t="shared" ref="S108:S118" si="45">+N108+O108+P108+Q108+R108</f>
        <v>1</v>
      </c>
      <c r="T108" s="358">
        <f t="shared" si="43"/>
        <v>1.8</v>
      </c>
      <c r="U108" s="360">
        <f>+(M108/G108)</f>
        <v>0.8</v>
      </c>
      <c r="V108" s="361">
        <f>+S108/H108</f>
        <v>1</v>
      </c>
      <c r="W108" s="361">
        <f>+U108*E108</f>
        <v>8.0000000000000016E-2</v>
      </c>
      <c r="X108" s="361">
        <f>+V108*E108</f>
        <v>0.1</v>
      </c>
      <c r="Y108" s="361">
        <f>+M108/F108</f>
        <v>0.2</v>
      </c>
      <c r="Z108" s="581">
        <f>+(T108+0.2)/F108</f>
        <v>0.5</v>
      </c>
      <c r="AA108" s="361">
        <f>+Y108*E108</f>
        <v>2.0000000000000004E-2</v>
      </c>
      <c r="AB108" s="361">
        <f t="shared" si="44"/>
        <v>0.05</v>
      </c>
      <c r="AC108" s="1079"/>
      <c r="AD108" s="650" t="s">
        <v>1902</v>
      </c>
      <c r="AE108" s="350"/>
      <c r="AF108" s="1087" t="s">
        <v>2297</v>
      </c>
      <c r="AG108" s="1087" t="s">
        <v>2412</v>
      </c>
      <c r="AH108" s="1087" t="s">
        <v>2447</v>
      </c>
      <c r="AI108" s="1085"/>
    </row>
    <row r="109" spans="1:35" ht="122.4" customHeight="1" thickBot="1" x14ac:dyDescent="0.55000000000000004">
      <c r="A109" s="344"/>
      <c r="B109" s="1206" t="s">
        <v>529</v>
      </c>
      <c r="C109" s="1195" t="s">
        <v>530</v>
      </c>
      <c r="D109" s="394" t="s">
        <v>516</v>
      </c>
      <c r="E109" s="352">
        <v>0.1</v>
      </c>
      <c r="F109" s="353">
        <v>1</v>
      </c>
      <c r="G109" s="372">
        <v>0</v>
      </c>
      <c r="H109" s="373">
        <v>0</v>
      </c>
      <c r="I109" s="362"/>
      <c r="J109" s="362"/>
      <c r="K109" s="363"/>
      <c r="L109" s="363"/>
      <c r="M109" s="358"/>
      <c r="N109" s="365"/>
      <c r="O109" s="359"/>
      <c r="P109" s="359"/>
      <c r="Q109" s="359"/>
      <c r="R109" s="359">
        <v>1</v>
      </c>
      <c r="S109" s="721">
        <f t="shared" si="45"/>
        <v>1</v>
      </c>
      <c r="T109" s="358">
        <f t="shared" si="43"/>
        <v>1</v>
      </c>
      <c r="U109" s="360"/>
      <c r="V109" s="361"/>
      <c r="W109" s="361"/>
      <c r="X109" s="361"/>
      <c r="Y109" s="361"/>
      <c r="Z109" s="581">
        <v>1</v>
      </c>
      <c r="AA109" s="361"/>
      <c r="AB109" s="361">
        <f t="shared" si="44"/>
        <v>0.1</v>
      </c>
      <c r="AC109" s="648" t="s">
        <v>1850</v>
      </c>
      <c r="AD109" s="650" t="s">
        <v>1902</v>
      </c>
      <c r="AE109" s="350"/>
      <c r="AF109" s="1087" t="s">
        <v>2297</v>
      </c>
      <c r="AG109" s="1087" t="s">
        <v>2412</v>
      </c>
      <c r="AH109" s="1087" t="s">
        <v>2447</v>
      </c>
      <c r="AI109" s="1085"/>
    </row>
    <row r="110" spans="1:35" ht="122.4" customHeight="1" thickBot="1" x14ac:dyDescent="0.55000000000000004">
      <c r="A110" s="344"/>
      <c r="B110" s="1206" t="s">
        <v>531</v>
      </c>
      <c r="C110" s="1195" t="s">
        <v>532</v>
      </c>
      <c r="D110" s="394" t="s">
        <v>516</v>
      </c>
      <c r="E110" s="352">
        <v>0.1</v>
      </c>
      <c r="F110" s="353">
        <v>1</v>
      </c>
      <c r="G110" s="372">
        <v>0</v>
      </c>
      <c r="H110" s="373">
        <v>0</v>
      </c>
      <c r="I110" s="362"/>
      <c r="J110" s="362"/>
      <c r="K110" s="363"/>
      <c r="L110" s="363"/>
      <c r="M110" s="358"/>
      <c r="N110" s="365"/>
      <c r="O110" s="359"/>
      <c r="P110" s="359"/>
      <c r="Q110" s="359"/>
      <c r="R110" s="359"/>
      <c r="S110" s="721">
        <f t="shared" si="45"/>
        <v>0</v>
      </c>
      <c r="T110" s="358">
        <f t="shared" si="43"/>
        <v>0</v>
      </c>
      <c r="U110" s="360"/>
      <c r="V110" s="361"/>
      <c r="W110" s="361"/>
      <c r="X110" s="361"/>
      <c r="Y110" s="361"/>
      <c r="Z110" s="361">
        <v>0</v>
      </c>
      <c r="AA110" s="361"/>
      <c r="AB110" s="361">
        <f t="shared" si="44"/>
        <v>0</v>
      </c>
      <c r="AC110" s="648" t="s">
        <v>1850</v>
      </c>
      <c r="AD110" s="650" t="s">
        <v>1902</v>
      </c>
      <c r="AE110" s="350"/>
      <c r="AF110" s="1087" t="s">
        <v>2297</v>
      </c>
      <c r="AG110" s="1087" t="s">
        <v>2412</v>
      </c>
      <c r="AH110" s="1087" t="s">
        <v>2447</v>
      </c>
      <c r="AI110" s="1085"/>
    </row>
    <row r="111" spans="1:35" ht="122.4" customHeight="1" thickBot="1" x14ac:dyDescent="0.55000000000000004">
      <c r="A111" s="344"/>
      <c r="B111" s="1206" t="s">
        <v>533</v>
      </c>
      <c r="C111" s="1195" t="s">
        <v>534</v>
      </c>
      <c r="D111" s="394" t="s">
        <v>516</v>
      </c>
      <c r="E111" s="352">
        <v>0.1</v>
      </c>
      <c r="F111" s="353">
        <v>1</v>
      </c>
      <c r="G111" s="372">
        <v>0</v>
      </c>
      <c r="H111" s="373">
        <v>0</v>
      </c>
      <c r="I111" s="362"/>
      <c r="J111" s="362"/>
      <c r="K111" s="363"/>
      <c r="L111" s="363"/>
      <c r="M111" s="396"/>
      <c r="N111" s="365"/>
      <c r="O111" s="939"/>
      <c r="P111" s="939"/>
      <c r="Q111" s="939"/>
      <c r="R111" s="939"/>
      <c r="S111" s="721">
        <f t="shared" si="45"/>
        <v>0</v>
      </c>
      <c r="T111" s="396">
        <f t="shared" si="43"/>
        <v>0</v>
      </c>
      <c r="U111" s="360"/>
      <c r="V111" s="361"/>
      <c r="W111" s="361"/>
      <c r="X111" s="361"/>
      <c r="Y111" s="361"/>
      <c r="Z111" s="361">
        <v>0</v>
      </c>
      <c r="AA111" s="361"/>
      <c r="AB111" s="361">
        <f t="shared" si="44"/>
        <v>0</v>
      </c>
      <c r="AC111" s="648" t="s">
        <v>1850</v>
      </c>
      <c r="AD111" s="650" t="s">
        <v>1902</v>
      </c>
      <c r="AE111" s="350"/>
      <c r="AF111" s="1087" t="s">
        <v>2297</v>
      </c>
      <c r="AG111" s="1087" t="s">
        <v>2412</v>
      </c>
      <c r="AH111" s="1087" t="s">
        <v>2447</v>
      </c>
      <c r="AI111" s="1085"/>
    </row>
    <row r="112" spans="1:35" ht="122.4" customHeight="1" thickBot="1" x14ac:dyDescent="0.55000000000000004">
      <c r="A112" s="344"/>
      <c r="B112" s="1206" t="s">
        <v>535</v>
      </c>
      <c r="C112" s="1195" t="s">
        <v>536</v>
      </c>
      <c r="D112" s="394" t="s">
        <v>516</v>
      </c>
      <c r="E112" s="352">
        <v>0.1</v>
      </c>
      <c r="F112" s="353">
        <v>4</v>
      </c>
      <c r="G112" s="372">
        <v>0</v>
      </c>
      <c r="H112" s="373">
        <v>0</v>
      </c>
      <c r="I112" s="362"/>
      <c r="J112" s="362"/>
      <c r="K112" s="363"/>
      <c r="L112" s="363"/>
      <c r="M112" s="396"/>
      <c r="N112" s="365"/>
      <c r="O112" s="939"/>
      <c r="P112" s="939"/>
      <c r="Q112" s="939"/>
      <c r="R112" s="939"/>
      <c r="S112" s="721">
        <f t="shared" si="45"/>
        <v>0</v>
      </c>
      <c r="T112" s="396">
        <f t="shared" si="43"/>
        <v>0</v>
      </c>
      <c r="U112" s="360"/>
      <c r="V112" s="361"/>
      <c r="W112" s="361"/>
      <c r="X112" s="361"/>
      <c r="Y112" s="361"/>
      <c r="Z112" s="361">
        <v>0</v>
      </c>
      <c r="AA112" s="361"/>
      <c r="AB112" s="361">
        <f t="shared" si="44"/>
        <v>0</v>
      </c>
      <c r="AC112" s="648" t="s">
        <v>1850</v>
      </c>
      <c r="AD112" s="650" t="s">
        <v>1902</v>
      </c>
      <c r="AE112" s="350"/>
      <c r="AF112" s="1087" t="s">
        <v>2297</v>
      </c>
      <c r="AG112" s="1087" t="s">
        <v>2412</v>
      </c>
      <c r="AH112" s="1087" t="s">
        <v>2447</v>
      </c>
      <c r="AI112" s="1085"/>
    </row>
    <row r="113" spans="1:35" ht="122.4" customHeight="1" thickBot="1" x14ac:dyDescent="0.55000000000000004">
      <c r="A113" s="344"/>
      <c r="B113" s="1206" t="s">
        <v>537</v>
      </c>
      <c r="C113" s="1195" t="s">
        <v>538</v>
      </c>
      <c r="D113" s="394" t="s">
        <v>516</v>
      </c>
      <c r="E113" s="352">
        <v>0.05</v>
      </c>
      <c r="F113" s="353">
        <v>1</v>
      </c>
      <c r="G113" s="372">
        <v>0</v>
      </c>
      <c r="H113" s="373"/>
      <c r="I113" s="362"/>
      <c r="J113" s="362"/>
      <c r="K113" s="363"/>
      <c r="L113" s="363"/>
      <c r="M113" s="358"/>
      <c r="N113" s="365"/>
      <c r="O113" s="359"/>
      <c r="P113" s="359"/>
      <c r="Q113" s="359"/>
      <c r="R113" s="359"/>
      <c r="S113" s="721">
        <f t="shared" si="45"/>
        <v>0</v>
      </c>
      <c r="T113" s="358">
        <f t="shared" si="43"/>
        <v>0</v>
      </c>
      <c r="U113" s="360"/>
      <c r="V113" s="361"/>
      <c r="W113" s="361"/>
      <c r="X113" s="361"/>
      <c r="Y113" s="361"/>
      <c r="Z113" s="361">
        <v>0</v>
      </c>
      <c r="AA113" s="361"/>
      <c r="AB113" s="361">
        <f t="shared" si="44"/>
        <v>0</v>
      </c>
      <c r="AC113" s="648" t="s">
        <v>1850</v>
      </c>
      <c r="AD113" s="650" t="s">
        <v>1902</v>
      </c>
      <c r="AE113" s="350"/>
      <c r="AF113" s="1087" t="s">
        <v>2297</v>
      </c>
      <c r="AG113" s="1087" t="s">
        <v>2412</v>
      </c>
      <c r="AH113" s="1087" t="s">
        <v>2447</v>
      </c>
      <c r="AI113" s="1085"/>
    </row>
    <row r="114" spans="1:35" ht="122.4" customHeight="1" thickBot="1" x14ac:dyDescent="0.55000000000000004">
      <c r="A114" s="344"/>
      <c r="B114" s="1206" t="s">
        <v>539</v>
      </c>
      <c r="C114" s="1195" t="s">
        <v>540</v>
      </c>
      <c r="D114" s="394" t="s">
        <v>516</v>
      </c>
      <c r="E114" s="352">
        <v>0.1</v>
      </c>
      <c r="F114" s="353">
        <v>24</v>
      </c>
      <c r="G114" s="372">
        <v>0</v>
      </c>
      <c r="H114" s="373">
        <v>8</v>
      </c>
      <c r="I114" s="362"/>
      <c r="J114" s="362">
        <f t="shared" si="37"/>
        <v>0.33333333333333331</v>
      </c>
      <c r="K114" s="363"/>
      <c r="L114" s="363">
        <f t="shared" si="38"/>
        <v>3.3333333333333333E-2</v>
      </c>
      <c r="M114" s="358"/>
      <c r="N114" s="365">
        <v>2</v>
      </c>
      <c r="O114" s="359">
        <v>0</v>
      </c>
      <c r="P114" s="359">
        <v>0</v>
      </c>
      <c r="Q114" s="359">
        <v>4</v>
      </c>
      <c r="R114" s="359">
        <v>8</v>
      </c>
      <c r="S114" s="721">
        <f t="shared" si="45"/>
        <v>14</v>
      </c>
      <c r="T114" s="358">
        <f t="shared" si="43"/>
        <v>14</v>
      </c>
      <c r="U114" s="360"/>
      <c r="V114" s="361">
        <v>1</v>
      </c>
      <c r="W114" s="361"/>
      <c r="X114" s="361">
        <f>+V114*E114</f>
        <v>0.1</v>
      </c>
      <c r="Y114" s="361"/>
      <c r="Z114" s="361">
        <f>+T114/F114</f>
        <v>0.58333333333333337</v>
      </c>
      <c r="AA114" s="361"/>
      <c r="AB114" s="361">
        <f t="shared" si="44"/>
        <v>5.8333333333333341E-2</v>
      </c>
      <c r="AC114" s="648" t="s">
        <v>1850</v>
      </c>
      <c r="AD114" s="1089" t="s">
        <v>1945</v>
      </c>
      <c r="AE114" s="350"/>
      <c r="AF114" s="1087" t="s">
        <v>2297</v>
      </c>
      <c r="AG114" s="1087" t="s">
        <v>2412</v>
      </c>
      <c r="AH114" s="1087" t="s">
        <v>2447</v>
      </c>
      <c r="AI114" s="1085"/>
    </row>
    <row r="115" spans="1:35" ht="122.4" customHeight="1" thickBot="1" x14ac:dyDescent="0.55000000000000004">
      <c r="A115" s="344"/>
      <c r="B115" s="1206" t="s">
        <v>541</v>
      </c>
      <c r="C115" s="1195" t="s">
        <v>542</v>
      </c>
      <c r="D115" s="394" t="s">
        <v>516</v>
      </c>
      <c r="E115" s="352">
        <v>0.1</v>
      </c>
      <c r="F115" s="353">
        <v>100000</v>
      </c>
      <c r="G115" s="372">
        <v>0</v>
      </c>
      <c r="H115" s="373">
        <v>33000</v>
      </c>
      <c r="I115" s="362"/>
      <c r="J115" s="362">
        <f t="shared" si="37"/>
        <v>0.33</v>
      </c>
      <c r="K115" s="363"/>
      <c r="L115" s="363">
        <f t="shared" si="38"/>
        <v>3.3000000000000002E-2</v>
      </c>
      <c r="M115" s="358"/>
      <c r="N115" s="365">
        <v>0</v>
      </c>
      <c r="O115" s="359">
        <v>0</v>
      </c>
      <c r="P115" s="359">
        <v>2500</v>
      </c>
      <c r="Q115" s="359">
        <v>1963</v>
      </c>
      <c r="R115" s="359">
        <v>392</v>
      </c>
      <c r="S115" s="721">
        <f t="shared" si="45"/>
        <v>4855</v>
      </c>
      <c r="T115" s="358">
        <f t="shared" si="43"/>
        <v>4855</v>
      </c>
      <c r="U115" s="360"/>
      <c r="V115" s="361">
        <f>+S115/H115</f>
        <v>0.14712121212121212</v>
      </c>
      <c r="W115" s="361"/>
      <c r="X115" s="361">
        <f>+V115*E115</f>
        <v>1.4712121212121213E-2</v>
      </c>
      <c r="Y115" s="361"/>
      <c r="Z115" s="581">
        <f>+T115/F115</f>
        <v>4.8550000000000003E-2</v>
      </c>
      <c r="AA115" s="361"/>
      <c r="AB115" s="361">
        <f t="shared" si="44"/>
        <v>4.8550000000000008E-3</v>
      </c>
      <c r="AC115" s="648" t="s">
        <v>1850</v>
      </c>
      <c r="AD115" s="1089" t="s">
        <v>1945</v>
      </c>
      <c r="AE115" s="350"/>
      <c r="AF115" s="1087" t="s">
        <v>2297</v>
      </c>
      <c r="AG115" s="1087" t="s">
        <v>2412</v>
      </c>
      <c r="AH115" s="1087" t="s">
        <v>2447</v>
      </c>
      <c r="AI115" s="1085"/>
    </row>
    <row r="116" spans="1:35" ht="122.4" customHeight="1" thickBot="1" x14ac:dyDescent="0.55000000000000004">
      <c r="A116" s="344"/>
      <c r="B116" s="1206" t="s">
        <v>543</v>
      </c>
      <c r="C116" s="1195" t="s">
        <v>544</v>
      </c>
      <c r="D116" s="394" t="s">
        <v>516</v>
      </c>
      <c r="E116" s="352">
        <v>0.05</v>
      </c>
      <c r="F116" s="353">
        <v>1</v>
      </c>
      <c r="G116" s="372">
        <v>0</v>
      </c>
      <c r="H116" s="373">
        <v>1</v>
      </c>
      <c r="I116" s="362"/>
      <c r="J116" s="362">
        <f t="shared" si="37"/>
        <v>1</v>
      </c>
      <c r="K116" s="363"/>
      <c r="L116" s="363">
        <f t="shared" si="38"/>
        <v>0.05</v>
      </c>
      <c r="M116" s="358"/>
      <c r="N116" s="365">
        <v>0</v>
      </c>
      <c r="O116" s="359">
        <v>0</v>
      </c>
      <c r="P116" s="359">
        <v>0.3</v>
      </c>
      <c r="Q116" s="359"/>
      <c r="R116" s="359"/>
      <c r="S116" s="1021">
        <f t="shared" si="45"/>
        <v>0.3</v>
      </c>
      <c r="T116" s="358">
        <f t="shared" si="43"/>
        <v>0.3</v>
      </c>
      <c r="U116" s="360"/>
      <c r="V116" s="361">
        <f>+S116/H116</f>
        <v>0.3</v>
      </c>
      <c r="W116" s="361"/>
      <c r="X116" s="361">
        <f>+V116*E116</f>
        <v>1.4999999999999999E-2</v>
      </c>
      <c r="Y116" s="361"/>
      <c r="Z116" s="581">
        <f>+T116/F116</f>
        <v>0.3</v>
      </c>
      <c r="AA116" s="361"/>
      <c r="AB116" s="361">
        <f t="shared" si="44"/>
        <v>1.4999999999999999E-2</v>
      </c>
      <c r="AC116" s="648" t="s">
        <v>1850</v>
      </c>
      <c r="AD116" s="1089" t="s">
        <v>1946</v>
      </c>
      <c r="AE116" s="350"/>
      <c r="AF116" s="1087" t="s">
        <v>2297</v>
      </c>
      <c r="AG116" s="1087" t="s">
        <v>2412</v>
      </c>
      <c r="AH116" s="1087" t="s">
        <v>2447</v>
      </c>
      <c r="AI116" s="1085"/>
    </row>
    <row r="117" spans="1:35" ht="122.4" customHeight="1" thickBot="1" x14ac:dyDescent="0.55000000000000004">
      <c r="A117" s="344"/>
      <c r="B117" s="1206" t="s">
        <v>545</v>
      </c>
      <c r="C117" s="1195" t="s">
        <v>546</v>
      </c>
      <c r="D117" s="394" t="s">
        <v>516</v>
      </c>
      <c r="E117" s="352">
        <v>0.05</v>
      </c>
      <c r="F117" s="353">
        <v>2</v>
      </c>
      <c r="G117" s="372">
        <v>0</v>
      </c>
      <c r="H117" s="373">
        <v>1</v>
      </c>
      <c r="I117" s="362"/>
      <c r="J117" s="362">
        <f t="shared" si="37"/>
        <v>0.5</v>
      </c>
      <c r="K117" s="363"/>
      <c r="L117" s="363">
        <f t="shared" si="38"/>
        <v>2.5000000000000001E-2</v>
      </c>
      <c r="M117" s="358"/>
      <c r="N117" s="365">
        <v>0</v>
      </c>
      <c r="O117" s="359">
        <v>0</v>
      </c>
      <c r="P117" s="359">
        <v>0</v>
      </c>
      <c r="Q117" s="359">
        <v>0</v>
      </c>
      <c r="R117" s="359">
        <v>1</v>
      </c>
      <c r="S117" s="721">
        <f t="shared" si="45"/>
        <v>1</v>
      </c>
      <c r="T117" s="358">
        <f t="shared" si="43"/>
        <v>1</v>
      </c>
      <c r="U117" s="360"/>
      <c r="V117" s="361">
        <f>+S117/H117</f>
        <v>1</v>
      </c>
      <c r="W117" s="361"/>
      <c r="X117" s="361">
        <f>+V117*E117</f>
        <v>0.05</v>
      </c>
      <c r="Y117" s="361"/>
      <c r="Z117" s="581">
        <f>+T117/F117</f>
        <v>0.5</v>
      </c>
      <c r="AA117" s="361"/>
      <c r="AB117" s="361">
        <f t="shared" si="44"/>
        <v>2.5000000000000001E-2</v>
      </c>
      <c r="AC117" s="648" t="s">
        <v>1850</v>
      </c>
      <c r="AD117" s="1089" t="s">
        <v>1947</v>
      </c>
      <c r="AE117" s="350"/>
      <c r="AF117" s="1087" t="s">
        <v>2297</v>
      </c>
      <c r="AG117" s="1087" t="s">
        <v>2412</v>
      </c>
      <c r="AH117" s="1087" t="s">
        <v>2447</v>
      </c>
      <c r="AI117" s="1085"/>
    </row>
    <row r="118" spans="1:35" ht="122.4" customHeight="1" thickBot="1" x14ac:dyDescent="0.55000000000000004">
      <c r="A118" s="344"/>
      <c r="B118" s="1206" t="s">
        <v>547</v>
      </c>
      <c r="C118" s="1195" t="s">
        <v>548</v>
      </c>
      <c r="D118" s="394" t="s">
        <v>516</v>
      </c>
      <c r="E118" s="352">
        <v>0.05</v>
      </c>
      <c r="F118" s="353">
        <v>1</v>
      </c>
      <c r="G118" s="372">
        <v>0</v>
      </c>
      <c r="H118" s="373">
        <v>1</v>
      </c>
      <c r="I118" s="362"/>
      <c r="J118" s="362">
        <f t="shared" si="37"/>
        <v>1</v>
      </c>
      <c r="K118" s="363"/>
      <c r="L118" s="363">
        <f t="shared" si="38"/>
        <v>0.05</v>
      </c>
      <c r="M118" s="358"/>
      <c r="N118" s="365">
        <v>0</v>
      </c>
      <c r="O118" s="359">
        <v>0</v>
      </c>
      <c r="P118" s="359">
        <v>0</v>
      </c>
      <c r="Q118" s="359">
        <v>0</v>
      </c>
      <c r="R118" s="359">
        <v>0</v>
      </c>
      <c r="S118" s="721">
        <f t="shared" si="45"/>
        <v>0</v>
      </c>
      <c r="T118" s="358">
        <f t="shared" si="43"/>
        <v>0</v>
      </c>
      <c r="U118" s="360"/>
      <c r="V118" s="361">
        <f>+S118/H118</f>
        <v>0</v>
      </c>
      <c r="W118" s="361"/>
      <c r="X118" s="361">
        <f>+V118*E118</f>
        <v>0</v>
      </c>
      <c r="Y118" s="361"/>
      <c r="Z118" s="581">
        <f>+T118/F118</f>
        <v>0</v>
      </c>
      <c r="AA118" s="361"/>
      <c r="AB118" s="361">
        <f t="shared" si="44"/>
        <v>0</v>
      </c>
      <c r="AC118" s="648" t="s">
        <v>1850</v>
      </c>
      <c r="AD118" s="1089" t="s">
        <v>1948</v>
      </c>
      <c r="AE118" s="350"/>
      <c r="AF118" s="1087" t="s">
        <v>2297</v>
      </c>
      <c r="AG118" s="1087" t="s">
        <v>2412</v>
      </c>
      <c r="AH118" s="1087" t="s">
        <v>2447</v>
      </c>
      <c r="AI118" s="1085"/>
    </row>
    <row r="119" spans="1:35" ht="122.4" customHeight="1" thickBot="1" x14ac:dyDescent="0.55000000000000004">
      <c r="A119" s="344"/>
      <c r="B119" s="1313" t="s">
        <v>1659</v>
      </c>
      <c r="C119" s="1310"/>
      <c r="D119" s="345"/>
      <c r="E119" s="386">
        <v>0.1</v>
      </c>
      <c r="F119" s="387">
        <f>+E119*W119</f>
        <v>7.759166666666667E-2</v>
      </c>
      <c r="G119" s="368"/>
      <c r="H119" s="346">
        <f>+E119*X119</f>
        <v>8.1765789473684208E-2</v>
      </c>
      <c r="I119" s="397">
        <f>+(I120+I122+I124+I126)/4</f>
        <v>0.17725490196078431</v>
      </c>
      <c r="J119" s="397">
        <f>+(J120+J122+J124+J126)/4</f>
        <v>0.1495081699346405</v>
      </c>
      <c r="K119" s="398">
        <f>+(K120+K122+K124+K126)/4</f>
        <v>0.16792156862745097</v>
      </c>
      <c r="L119" s="398">
        <f>+(L120+L122+L124+L126)/4</f>
        <v>0.15253039215686273</v>
      </c>
      <c r="M119" s="358"/>
      <c r="N119" s="358"/>
      <c r="O119" s="358"/>
      <c r="P119" s="358"/>
      <c r="Q119" s="358"/>
      <c r="R119" s="358"/>
      <c r="S119" s="358"/>
      <c r="T119" s="358"/>
      <c r="U119" s="391">
        <f>+(U120+U122+U124+U126)/4</f>
        <v>0.84770833333333329</v>
      </c>
      <c r="V119" s="391">
        <f>+(V120+V122+V124+V126)/4</f>
        <v>0.77680263157894736</v>
      </c>
      <c r="W119" s="399">
        <f>+W120+W122+W124+W126</f>
        <v>0.7759166666666667</v>
      </c>
      <c r="X119" s="399">
        <f>+X120+X122+X124+X126</f>
        <v>0.81765789473684203</v>
      </c>
      <c r="Y119" s="348">
        <f>(Y120+Y122+Y124+Y126)/4</f>
        <v>0.14324852941176469</v>
      </c>
      <c r="Z119" s="348">
        <f>(Z120+Z122+Z124+Z126)/4</f>
        <v>0.2397588235294118</v>
      </c>
      <c r="AA119" s="399">
        <f>(AA120+AA122+AA124+AA126)</f>
        <v>0.13347823529411765</v>
      </c>
      <c r="AB119" s="399">
        <f>(AB120*E120)+(AB122*E122)+(AB124*E124)+(AB126*E126)</f>
        <v>0.22248258823529413</v>
      </c>
      <c r="AC119" s="1080"/>
      <c r="AD119" s="350"/>
      <c r="AE119" s="350"/>
      <c r="AF119" s="350"/>
      <c r="AG119" s="350"/>
      <c r="AH119" s="1088"/>
      <c r="AI119" s="1085"/>
    </row>
    <row r="120" spans="1:35" ht="122.4" customHeight="1" thickBot="1" x14ac:dyDescent="0.55000000000000004">
      <c r="A120" s="344"/>
      <c r="B120" s="1308" t="s">
        <v>1660</v>
      </c>
      <c r="C120" s="1310"/>
      <c r="D120" s="345"/>
      <c r="E120" s="349">
        <v>0.3</v>
      </c>
      <c r="F120" s="367"/>
      <c r="G120" s="368"/>
      <c r="H120" s="350"/>
      <c r="I120" s="369">
        <f>+AVERAGE(I121)</f>
        <v>0.04</v>
      </c>
      <c r="J120" s="369">
        <f>+AVERAGE(J121)</f>
        <v>4.4999999999999998E-2</v>
      </c>
      <c r="K120" s="370">
        <f>+K121</f>
        <v>0.04</v>
      </c>
      <c r="L120" s="370">
        <f>+L121</f>
        <v>4.4999999999999998E-2</v>
      </c>
      <c r="M120" s="358"/>
      <c r="N120" s="371"/>
      <c r="O120" s="371"/>
      <c r="P120" s="371"/>
      <c r="Q120" s="371"/>
      <c r="R120" s="1178"/>
      <c r="S120" s="371"/>
      <c r="T120" s="371"/>
      <c r="U120" s="579">
        <f>+AVERAGE(U121)</f>
        <v>0.89749999999999996</v>
      </c>
      <c r="V120" s="579">
        <v>1</v>
      </c>
      <c r="W120" s="392">
        <f>+(W121)*E120</f>
        <v>0.26924999999999999</v>
      </c>
      <c r="X120" s="392">
        <f>+(X121)*E120</f>
        <v>0.3</v>
      </c>
      <c r="Y120" s="351">
        <f>+AVERAGE(Y121)</f>
        <v>3.5900000000000001E-2</v>
      </c>
      <c r="Z120" s="351">
        <f>+AVERAGE(Z121)</f>
        <v>8.6300000000000002E-2</v>
      </c>
      <c r="AA120" s="351">
        <f>+(AA121)*E120</f>
        <v>1.077E-2</v>
      </c>
      <c r="AB120" s="351">
        <f>+(AB121)</f>
        <v>8.6300000000000002E-2</v>
      </c>
      <c r="AC120" s="764"/>
      <c r="AD120" s="350"/>
      <c r="AE120" s="350"/>
      <c r="AF120" s="350"/>
      <c r="AG120" s="350"/>
      <c r="AH120" s="1088"/>
      <c r="AI120" s="1085"/>
    </row>
    <row r="121" spans="1:35" ht="122.4" customHeight="1" thickBot="1" x14ac:dyDescent="0.45">
      <c r="A121" s="344"/>
      <c r="B121" s="1206" t="s">
        <v>549</v>
      </c>
      <c r="C121" s="1195" t="s">
        <v>550</v>
      </c>
      <c r="D121" s="394" t="s">
        <v>551</v>
      </c>
      <c r="E121" s="352">
        <v>1</v>
      </c>
      <c r="F121" s="353">
        <v>10000</v>
      </c>
      <c r="G121" s="372">
        <v>400</v>
      </c>
      <c r="H121" s="373">
        <v>450</v>
      </c>
      <c r="I121" s="362">
        <f>+G121/F121</f>
        <v>0.04</v>
      </c>
      <c r="J121" s="362">
        <f>+H121/F121</f>
        <v>4.4999999999999998E-2</v>
      </c>
      <c r="K121" s="363">
        <f>+(G121/F121)*E121</f>
        <v>0.04</v>
      </c>
      <c r="L121" s="363">
        <f t="shared" ref="L121" si="46">+(H121/F121)*E121</f>
        <v>4.4999999999999998E-2</v>
      </c>
      <c r="M121" s="358">
        <v>359</v>
      </c>
      <c r="N121" s="365">
        <v>52</v>
      </c>
      <c r="O121" s="365">
        <v>142</v>
      </c>
      <c r="P121" s="359">
        <v>273</v>
      </c>
      <c r="Q121" s="359">
        <v>26</v>
      </c>
      <c r="R121" s="359">
        <v>11</v>
      </c>
      <c r="S121" s="364">
        <f>+N121+O121+P121+Q121+R121</f>
        <v>504</v>
      </c>
      <c r="T121" s="358">
        <f>+S121+M121</f>
        <v>863</v>
      </c>
      <c r="U121" s="360">
        <f>+(M121/G121)</f>
        <v>0.89749999999999996</v>
      </c>
      <c r="V121" s="361">
        <v>1</v>
      </c>
      <c r="W121" s="361">
        <f>+U121*E121</f>
        <v>0.89749999999999996</v>
      </c>
      <c r="X121" s="361">
        <f>+V121*E121</f>
        <v>1</v>
      </c>
      <c r="Y121" s="361">
        <f>+M121/F121</f>
        <v>3.5900000000000001E-2</v>
      </c>
      <c r="Z121" s="361">
        <f>+T121/F121</f>
        <v>8.6300000000000002E-2</v>
      </c>
      <c r="AA121" s="361">
        <f>+Y121*E121</f>
        <v>3.5900000000000001E-2</v>
      </c>
      <c r="AB121" s="361">
        <f>+Z121*E121</f>
        <v>8.6300000000000002E-2</v>
      </c>
      <c r="AC121" s="648" t="s">
        <v>1850</v>
      </c>
      <c r="AD121" s="650" t="s">
        <v>1902</v>
      </c>
      <c r="AE121" s="650" t="s">
        <v>2272</v>
      </c>
      <c r="AF121" s="1087" t="s">
        <v>2297</v>
      </c>
      <c r="AG121" s="645" t="s">
        <v>2355</v>
      </c>
      <c r="AH121" s="677" t="s">
        <v>2447</v>
      </c>
      <c r="AI121" s="677" t="s">
        <v>2564</v>
      </c>
    </row>
    <row r="122" spans="1:35" ht="122.4" customHeight="1" thickBot="1" x14ac:dyDescent="0.55000000000000004">
      <c r="A122" s="344"/>
      <c r="B122" s="1308" t="s">
        <v>1661</v>
      </c>
      <c r="C122" s="1310"/>
      <c r="D122" s="345"/>
      <c r="E122" s="349">
        <v>0.3</v>
      </c>
      <c r="F122" s="353"/>
      <c r="G122" s="372"/>
      <c r="H122" s="373"/>
      <c r="I122" s="369">
        <f>+AVERAGE(I123)</f>
        <v>0.21568627450980393</v>
      </c>
      <c r="J122" s="369">
        <f>+AVERAGE(J123)</f>
        <v>5.7254901960784317E-2</v>
      </c>
      <c r="K122" s="370">
        <f>+K123</f>
        <v>0.21568627450980393</v>
      </c>
      <c r="L122" s="370">
        <f>+L123</f>
        <v>5.7254901960784317E-2</v>
      </c>
      <c r="M122" s="358"/>
      <c r="N122" s="358"/>
      <c r="O122" s="358"/>
      <c r="P122" s="358"/>
      <c r="Q122" s="358"/>
      <c r="R122" s="1177"/>
      <c r="S122" s="358"/>
      <c r="T122" s="358"/>
      <c r="U122" s="579">
        <f>+AVERAGE(U123)</f>
        <v>1</v>
      </c>
      <c r="V122" s="579">
        <f>+AVERAGE(V123)</f>
        <v>1</v>
      </c>
      <c r="W122" s="392">
        <f>+(W123)*E122</f>
        <v>0.3</v>
      </c>
      <c r="X122" s="392">
        <f>+(X123)*E122</f>
        <v>0.3</v>
      </c>
      <c r="Y122" s="351">
        <f>+AVERAGE(Y123)</f>
        <v>0.22596078431372549</v>
      </c>
      <c r="Z122" s="351">
        <f>+AVERAGE(Z123)</f>
        <v>0.28556862745098038</v>
      </c>
      <c r="AA122" s="351">
        <f>+(AA123)*E122</f>
        <v>6.7788235294117649E-2</v>
      </c>
      <c r="AB122" s="351">
        <f>+(AB123)</f>
        <v>0.28556862745098038</v>
      </c>
      <c r="AC122" s="764"/>
      <c r="AD122" s="350"/>
      <c r="AE122" s="350"/>
      <c r="AF122" s="350"/>
      <c r="AG122" s="350"/>
      <c r="AH122" s="1088"/>
      <c r="AI122" s="1085"/>
    </row>
    <row r="123" spans="1:35" ht="122.4" customHeight="1" thickBot="1" x14ac:dyDescent="0.45">
      <c r="A123" s="344"/>
      <c r="B123" s="1206" t="s">
        <v>552</v>
      </c>
      <c r="C123" s="1195" t="s">
        <v>553</v>
      </c>
      <c r="D123" s="394" t="s">
        <v>551</v>
      </c>
      <c r="E123" s="352">
        <v>1</v>
      </c>
      <c r="F123" s="353">
        <v>12750</v>
      </c>
      <c r="G123" s="372">
        <v>2750</v>
      </c>
      <c r="H123" s="373">
        <v>730</v>
      </c>
      <c r="I123" s="400">
        <f>+G123/F123</f>
        <v>0.21568627450980393</v>
      </c>
      <c r="J123" s="400">
        <f t="shared" ref="J123" si="47">+H123/F123</f>
        <v>5.7254901960784317E-2</v>
      </c>
      <c r="K123" s="401">
        <f>+(G123/F123)*E123</f>
        <v>0.21568627450980393</v>
      </c>
      <c r="L123" s="401">
        <f t="shared" ref="L123" si="48">+(H123/F123)*E123</f>
        <v>5.7254901960784317E-2</v>
      </c>
      <c r="M123" s="358">
        <v>2881</v>
      </c>
      <c r="N123" s="359">
        <v>223</v>
      </c>
      <c r="O123" s="359">
        <f>610-N123</f>
        <v>387</v>
      </c>
      <c r="P123" s="359">
        <v>109</v>
      </c>
      <c r="Q123" s="359">
        <v>0</v>
      </c>
      <c r="R123" s="359">
        <v>41</v>
      </c>
      <c r="S123" s="358">
        <f>+N123+O123+P123+Q123+R123</f>
        <v>760</v>
      </c>
      <c r="T123" s="358">
        <f>+S123+M123</f>
        <v>3641</v>
      </c>
      <c r="U123" s="360">
        <v>1</v>
      </c>
      <c r="V123" s="361">
        <v>1</v>
      </c>
      <c r="W123" s="361">
        <f>+U123*E123</f>
        <v>1</v>
      </c>
      <c r="X123" s="361">
        <f>+V123*E123</f>
        <v>1</v>
      </c>
      <c r="Y123" s="361">
        <f>+M123/F123</f>
        <v>0.22596078431372549</v>
      </c>
      <c r="Z123" s="361">
        <f>+T123/F123</f>
        <v>0.28556862745098038</v>
      </c>
      <c r="AA123" s="361">
        <f>+Y123*E123</f>
        <v>0.22596078431372549</v>
      </c>
      <c r="AB123" s="361">
        <f>+Z123*E123</f>
        <v>0.28556862745098038</v>
      </c>
      <c r="AC123" s="648" t="s">
        <v>1850</v>
      </c>
      <c r="AD123" s="650" t="s">
        <v>1902</v>
      </c>
      <c r="AE123" s="650" t="s">
        <v>2272</v>
      </c>
      <c r="AF123" s="1087" t="s">
        <v>2297</v>
      </c>
      <c r="AG123" s="645" t="s">
        <v>2356</v>
      </c>
      <c r="AH123" s="677" t="s">
        <v>2447</v>
      </c>
      <c r="AI123" s="677" t="s">
        <v>2564</v>
      </c>
    </row>
    <row r="124" spans="1:35" ht="122.4" customHeight="1" thickBot="1" x14ac:dyDescent="0.55000000000000004">
      <c r="A124" s="344"/>
      <c r="B124" s="1308" t="s">
        <v>1662</v>
      </c>
      <c r="C124" s="1310"/>
      <c r="D124" s="394"/>
      <c r="E124" s="349">
        <v>0.2</v>
      </c>
      <c r="F124" s="353"/>
      <c r="G124" s="372"/>
      <c r="H124" s="373"/>
      <c r="I124" s="369">
        <f>+AVERAGE(I125)</f>
        <v>0.33</v>
      </c>
      <c r="J124" s="369">
        <f>+AVERAGE(J125)</f>
        <v>0.2</v>
      </c>
      <c r="K124" s="370">
        <f>+K125</f>
        <v>0.33</v>
      </c>
      <c r="L124" s="370">
        <f>+L125</f>
        <v>0.2</v>
      </c>
      <c r="M124" s="358"/>
      <c r="N124" s="358"/>
      <c r="O124" s="358"/>
      <c r="P124" s="358"/>
      <c r="Q124" s="358"/>
      <c r="R124" s="1177"/>
      <c r="S124" s="358"/>
      <c r="T124" s="358"/>
      <c r="U124" s="579">
        <f>+AVERAGE(U125)</f>
        <v>0.59333333333333338</v>
      </c>
      <c r="V124" s="579">
        <f>+AVERAGE(V125)</f>
        <v>0.48899999999999999</v>
      </c>
      <c r="W124" s="392">
        <f>+(W125)*E124</f>
        <v>0.11866666666666668</v>
      </c>
      <c r="X124" s="392">
        <f>+(X125)*E124</f>
        <v>9.7799999999999998E-2</v>
      </c>
      <c r="Y124" s="351">
        <f>+AVERAGE(Y125)</f>
        <v>0.1958</v>
      </c>
      <c r="Z124" s="351">
        <f>+AVERAGE(Z125)</f>
        <v>0.29360000000000003</v>
      </c>
      <c r="AA124" s="351">
        <f>+(AA125)*E124</f>
        <v>3.916E-2</v>
      </c>
      <c r="AB124" s="351">
        <f>+(AB125)</f>
        <v>0.29360000000000003</v>
      </c>
      <c r="AC124" s="764"/>
      <c r="AD124" s="350"/>
      <c r="AE124" s="350"/>
      <c r="AF124" s="350"/>
      <c r="AG124" s="350"/>
      <c r="AH124" s="1088"/>
      <c r="AI124" s="1085"/>
    </row>
    <row r="125" spans="1:35" ht="122.4" customHeight="1" thickBot="1" x14ac:dyDescent="0.45">
      <c r="A125" s="344"/>
      <c r="B125" s="1263" t="s">
        <v>554</v>
      </c>
      <c r="C125" s="1199" t="s">
        <v>555</v>
      </c>
      <c r="D125" s="394" t="s">
        <v>551</v>
      </c>
      <c r="E125" s="352">
        <v>1</v>
      </c>
      <c r="F125" s="353">
        <v>5000</v>
      </c>
      <c r="G125" s="372">
        <v>1650</v>
      </c>
      <c r="H125" s="373">
        <v>1000</v>
      </c>
      <c r="I125" s="362">
        <f>+G125/F125</f>
        <v>0.33</v>
      </c>
      <c r="J125" s="362">
        <f t="shared" ref="J125" si="49">+H125/F125</f>
        <v>0.2</v>
      </c>
      <c r="K125" s="363">
        <f>+(G125/F125)*E125</f>
        <v>0.33</v>
      </c>
      <c r="L125" s="363">
        <f t="shared" ref="L125" si="50">+(H125/F125)*E125</f>
        <v>0.2</v>
      </c>
      <c r="M125" s="358">
        <v>979</v>
      </c>
      <c r="N125" s="359">
        <v>226</v>
      </c>
      <c r="O125" s="359">
        <v>35</v>
      </c>
      <c r="P125" s="359">
        <v>99</v>
      </c>
      <c r="Q125" s="359">
        <v>129</v>
      </c>
      <c r="R125" s="359"/>
      <c r="S125" s="358">
        <f>+N125+O125+P125+Q125+R125</f>
        <v>489</v>
      </c>
      <c r="T125" s="358">
        <f>+S125+M125</f>
        <v>1468</v>
      </c>
      <c r="U125" s="360">
        <f>+(M125/G125)</f>
        <v>0.59333333333333338</v>
      </c>
      <c r="V125" s="361">
        <f>+S125/H125</f>
        <v>0.48899999999999999</v>
      </c>
      <c r="W125" s="361">
        <f>+U125*E125</f>
        <v>0.59333333333333338</v>
      </c>
      <c r="X125" s="361">
        <f>+V125*E125</f>
        <v>0.48899999999999999</v>
      </c>
      <c r="Y125" s="361">
        <f>+M125/F125</f>
        <v>0.1958</v>
      </c>
      <c r="Z125" s="361">
        <f>+T125/F125</f>
        <v>0.29360000000000003</v>
      </c>
      <c r="AA125" s="361">
        <f>+Y125*E125</f>
        <v>0.1958</v>
      </c>
      <c r="AB125" s="361">
        <f>+Z125*E125</f>
        <v>0.29360000000000003</v>
      </c>
      <c r="AC125" s="648" t="s">
        <v>1850</v>
      </c>
      <c r="AD125" s="650" t="s">
        <v>1902</v>
      </c>
      <c r="AE125" s="650" t="s">
        <v>2272</v>
      </c>
      <c r="AF125" s="1087" t="s">
        <v>2297</v>
      </c>
      <c r="AG125" s="645" t="s">
        <v>2357</v>
      </c>
      <c r="AH125" s="677" t="s">
        <v>2447</v>
      </c>
      <c r="AI125" s="719" t="s">
        <v>2589</v>
      </c>
    </row>
    <row r="126" spans="1:35" ht="122.4" customHeight="1" thickBot="1" x14ac:dyDescent="0.55000000000000004">
      <c r="A126" s="344"/>
      <c r="B126" s="1308" t="s">
        <v>1663</v>
      </c>
      <c r="C126" s="1310"/>
      <c r="D126" s="394"/>
      <c r="E126" s="349">
        <v>0.2</v>
      </c>
      <c r="F126" s="353"/>
      <c r="G126" s="372"/>
      <c r="H126" s="373"/>
      <c r="I126" s="369">
        <f>+AVERAGE(I127:I129)</f>
        <v>0.12333333333333334</v>
      </c>
      <c r="J126" s="369">
        <f>+AVERAGE(J127:J129)</f>
        <v>0.29577777777777775</v>
      </c>
      <c r="K126" s="370">
        <f>+K127+K128+K129</f>
        <v>8.5999999999999993E-2</v>
      </c>
      <c r="L126" s="370">
        <f>+L127+L128+L129</f>
        <v>0.30786666666666662</v>
      </c>
      <c r="M126" s="358"/>
      <c r="N126" s="371"/>
      <c r="O126" s="371"/>
      <c r="P126" s="371"/>
      <c r="Q126" s="371"/>
      <c r="R126" s="1178"/>
      <c r="S126" s="371"/>
      <c r="T126" s="371"/>
      <c r="U126" s="579">
        <f>+AVERAGE(U127:U129)</f>
        <v>0.9</v>
      </c>
      <c r="V126" s="579">
        <f>+AVERAGE(V127:V129)</f>
        <v>0.61821052631578943</v>
      </c>
      <c r="W126" s="392">
        <f>+(W127+W128+W129)*E126</f>
        <v>8.8000000000000009E-2</v>
      </c>
      <c r="X126" s="392">
        <f>+(X127+X128+X129)*E126</f>
        <v>0.11985789473684211</v>
      </c>
      <c r="Y126" s="351">
        <f>+AVERAGE(Y127:Y129)</f>
        <v>0.11533333333333333</v>
      </c>
      <c r="Z126" s="351">
        <f>+AVERAGE(Z127:Z129)</f>
        <v>0.2935666666666667</v>
      </c>
      <c r="AA126" s="351">
        <f>+(AA127+AA128+AA129)*E126</f>
        <v>1.5760000000000003E-2</v>
      </c>
      <c r="AB126" s="351">
        <f>+(AB127+AB128+AB129)</f>
        <v>0.26100999999999996</v>
      </c>
      <c r="AC126" s="764"/>
      <c r="AD126" s="350"/>
      <c r="AE126" s="350"/>
      <c r="AF126" s="350"/>
      <c r="AG126" s="350"/>
      <c r="AH126" s="1088"/>
      <c r="AI126" s="1085"/>
    </row>
    <row r="127" spans="1:35" ht="122.4" customHeight="1" thickBot="1" x14ac:dyDescent="0.45">
      <c r="A127" s="344"/>
      <c r="B127" s="1263" t="s">
        <v>556</v>
      </c>
      <c r="C127" s="1199" t="s">
        <v>557</v>
      </c>
      <c r="D127" s="394" t="s">
        <v>551</v>
      </c>
      <c r="E127" s="352">
        <v>0.3</v>
      </c>
      <c r="F127" s="353">
        <v>5</v>
      </c>
      <c r="G127" s="372">
        <v>0.6</v>
      </c>
      <c r="H127" s="373">
        <v>1.52</v>
      </c>
      <c r="I127" s="362">
        <f>+G127/F127</f>
        <v>0.12</v>
      </c>
      <c r="J127" s="362">
        <f t="shared" ref="J127:J129" si="51">+H127/F127</f>
        <v>0.30399999999999999</v>
      </c>
      <c r="K127" s="363">
        <f>+(G127/F127)*E127</f>
        <v>3.5999999999999997E-2</v>
      </c>
      <c r="L127" s="363">
        <f t="shared" ref="L127:L129" si="52">+(H127/F127)*E127</f>
        <v>9.1199999999999989E-2</v>
      </c>
      <c r="M127" s="358">
        <v>0.48</v>
      </c>
      <c r="N127" s="359">
        <v>0</v>
      </c>
      <c r="O127" s="359">
        <v>0.24</v>
      </c>
      <c r="P127" s="359">
        <v>6.4000000000000001E-2</v>
      </c>
      <c r="Q127" s="359">
        <v>9.9000000000000032E-2</v>
      </c>
      <c r="R127" s="359">
        <v>3.7999999999999978E-2</v>
      </c>
      <c r="S127" s="364">
        <f>+N127+O127+P127+Q127+R127</f>
        <v>0.441</v>
      </c>
      <c r="T127" s="358">
        <f>+S127+M127</f>
        <v>0.92100000000000004</v>
      </c>
      <c r="U127" s="360">
        <f>+(M127/G127)</f>
        <v>0.8</v>
      </c>
      <c r="V127" s="361">
        <f>+S127/H127</f>
        <v>0.29013157894736841</v>
      </c>
      <c r="W127" s="361">
        <f>+U127*E127</f>
        <v>0.24</v>
      </c>
      <c r="X127" s="361">
        <f>+V127*E127</f>
        <v>8.7039473684210514E-2</v>
      </c>
      <c r="Y127" s="361">
        <f>+M127/F127</f>
        <v>9.6000000000000002E-2</v>
      </c>
      <c r="Z127" s="361">
        <f>+T127/F127</f>
        <v>0.1842</v>
      </c>
      <c r="AA127" s="361">
        <f>+Y127*E127</f>
        <v>2.8799999999999999E-2</v>
      </c>
      <c r="AB127" s="361">
        <f>+Z127*E127</f>
        <v>5.5259999999999997E-2</v>
      </c>
      <c r="AC127" s="648" t="s">
        <v>1850</v>
      </c>
      <c r="AD127" s="650" t="s">
        <v>1902</v>
      </c>
      <c r="AE127" s="650" t="s">
        <v>2272</v>
      </c>
      <c r="AF127" s="1087" t="s">
        <v>2297</v>
      </c>
      <c r="AG127" s="1087" t="s">
        <v>2412</v>
      </c>
      <c r="AH127" s="677" t="s">
        <v>2447</v>
      </c>
      <c r="AI127" s="719" t="s">
        <v>2589</v>
      </c>
    </row>
    <row r="128" spans="1:35" ht="122.4" customHeight="1" thickBot="1" x14ac:dyDescent="0.45">
      <c r="A128" s="344"/>
      <c r="B128" s="1229" t="s">
        <v>558</v>
      </c>
      <c r="C128" s="1204" t="s">
        <v>559</v>
      </c>
      <c r="D128" s="394" t="s">
        <v>560</v>
      </c>
      <c r="E128" s="352">
        <v>0.5</v>
      </c>
      <c r="F128" s="353">
        <v>6</v>
      </c>
      <c r="G128" s="372">
        <v>0</v>
      </c>
      <c r="H128" s="373">
        <v>2</v>
      </c>
      <c r="I128" s="400">
        <v>0</v>
      </c>
      <c r="J128" s="400">
        <f t="shared" si="51"/>
        <v>0.33333333333333331</v>
      </c>
      <c r="K128" s="363"/>
      <c r="L128" s="363">
        <f t="shared" si="52"/>
        <v>0.16666666666666666</v>
      </c>
      <c r="M128" s="358"/>
      <c r="N128" s="359">
        <v>0</v>
      </c>
      <c r="O128" s="359">
        <v>1.24</v>
      </c>
      <c r="P128" s="359">
        <v>0.03</v>
      </c>
      <c r="Q128" s="359">
        <v>1.4E-2</v>
      </c>
      <c r="R128" s="359">
        <v>4.4999999999999998E-2</v>
      </c>
      <c r="S128" s="358">
        <f t="shared" ref="S128:S129" si="53">+N128+O128+P128+Q128+R128</f>
        <v>1.329</v>
      </c>
      <c r="T128" s="358">
        <f>+S128+M128</f>
        <v>1.329</v>
      </c>
      <c r="U128" s="360"/>
      <c r="V128" s="361">
        <f>+S128/H128</f>
        <v>0.66449999999999998</v>
      </c>
      <c r="W128" s="361"/>
      <c r="X128" s="361">
        <f>+V128*E128</f>
        <v>0.33224999999999999</v>
      </c>
      <c r="Y128" s="581">
        <v>0</v>
      </c>
      <c r="Z128" s="361">
        <f>+T128/F128</f>
        <v>0.2215</v>
      </c>
      <c r="AA128" s="361"/>
      <c r="AB128" s="361">
        <f>+Z128*E128</f>
        <v>0.11075</v>
      </c>
      <c r="AC128" s="648" t="s">
        <v>1850</v>
      </c>
      <c r="AD128" s="719" t="s">
        <v>1920</v>
      </c>
      <c r="AE128" s="350"/>
      <c r="AF128" s="1087" t="s">
        <v>2297</v>
      </c>
      <c r="AG128" s="645" t="s">
        <v>2379</v>
      </c>
      <c r="AH128" s="677" t="s">
        <v>2447</v>
      </c>
      <c r="AI128" s="677" t="s">
        <v>2564</v>
      </c>
    </row>
    <row r="129" spans="1:35" ht="122.4" customHeight="1" thickBot="1" x14ac:dyDescent="0.45">
      <c r="A129" s="344"/>
      <c r="B129" s="1263" t="s">
        <v>561</v>
      </c>
      <c r="C129" s="1199" t="s">
        <v>562</v>
      </c>
      <c r="D129" s="687" t="s">
        <v>551</v>
      </c>
      <c r="E129" s="352">
        <v>0.2</v>
      </c>
      <c r="F129" s="353">
        <v>4</v>
      </c>
      <c r="G129" s="372">
        <v>1</v>
      </c>
      <c r="H129" s="373">
        <v>1</v>
      </c>
      <c r="I129" s="362">
        <f>+G129/F129</f>
        <v>0.25</v>
      </c>
      <c r="J129" s="362">
        <f t="shared" si="51"/>
        <v>0.25</v>
      </c>
      <c r="K129" s="363">
        <f>+(G129/F129)*E129</f>
        <v>0.05</v>
      </c>
      <c r="L129" s="363">
        <f t="shared" si="52"/>
        <v>0.05</v>
      </c>
      <c r="M129" s="402">
        <v>1</v>
      </c>
      <c r="N129" s="580">
        <v>0</v>
      </c>
      <c r="O129" s="580">
        <v>0.22</v>
      </c>
      <c r="P129" s="359">
        <v>0.12</v>
      </c>
      <c r="Q129" s="580">
        <v>0.21000000000000013</v>
      </c>
      <c r="R129" s="580">
        <v>0.34999999999999987</v>
      </c>
      <c r="S129" s="402">
        <f t="shared" si="53"/>
        <v>0.89999999999999991</v>
      </c>
      <c r="T129" s="402">
        <f>+S129+M129</f>
        <v>1.9</v>
      </c>
      <c r="U129" s="360">
        <f>+(M129/G129)</f>
        <v>1</v>
      </c>
      <c r="V129" s="361">
        <f>+S129/H129</f>
        <v>0.89999999999999991</v>
      </c>
      <c r="W129" s="361">
        <f>+U129*E129</f>
        <v>0.2</v>
      </c>
      <c r="X129" s="361">
        <f>+V129*E129</f>
        <v>0.18</v>
      </c>
      <c r="Y129" s="361">
        <f>+M129/F129</f>
        <v>0.25</v>
      </c>
      <c r="Z129" s="361">
        <f>+T129/F129</f>
        <v>0.47499999999999998</v>
      </c>
      <c r="AA129" s="361">
        <f>+Y129*E129</f>
        <v>0.05</v>
      </c>
      <c r="AB129" s="361">
        <f>+Z129*E129</f>
        <v>9.5000000000000001E-2</v>
      </c>
      <c r="AC129" s="648" t="s">
        <v>1850</v>
      </c>
      <c r="AD129" s="650" t="s">
        <v>1902</v>
      </c>
      <c r="AE129" s="650" t="s">
        <v>2272</v>
      </c>
      <c r="AF129" s="1087" t="s">
        <v>2297</v>
      </c>
      <c r="AG129" s="1087" t="s">
        <v>2412</v>
      </c>
      <c r="AH129" s="677" t="s">
        <v>2447</v>
      </c>
      <c r="AI129" s="719" t="s">
        <v>2589</v>
      </c>
    </row>
    <row r="130" spans="1:35" ht="150.6" customHeight="1" thickBot="1" x14ac:dyDescent="0.55000000000000004">
      <c r="A130" s="344"/>
      <c r="B130" s="1313" t="s">
        <v>1664</v>
      </c>
      <c r="C130" s="1310"/>
      <c r="D130" s="403"/>
      <c r="E130" s="386">
        <v>0.15</v>
      </c>
      <c r="F130" s="387">
        <f>+E130*W130</f>
        <v>8.7450000000000014E-2</v>
      </c>
      <c r="G130" s="368"/>
      <c r="H130" s="346">
        <f>+E130*X130</f>
        <v>0.11834000541795665</v>
      </c>
      <c r="I130" s="397">
        <f>+(I131+I140+I145+I148+I154+I160)/5</f>
        <v>0.22655250131358057</v>
      </c>
      <c r="J130" s="397">
        <f>+(J131+J140+J145+J148+J154+J160)/6</f>
        <v>0.40396612216494382</v>
      </c>
      <c r="K130" s="398">
        <f>+(K131+K140+K145+K148+K154+K160)/5</f>
        <v>0.2503571688629197</v>
      </c>
      <c r="L130" s="398">
        <f>+(L131+L140+L145+L148+L154+L160)/6</f>
        <v>0.34713104798682154</v>
      </c>
      <c r="M130" s="373"/>
      <c r="N130" s="373"/>
      <c r="O130" s="373"/>
      <c r="P130" s="373"/>
      <c r="Q130" s="373"/>
      <c r="R130" s="1179"/>
      <c r="S130" s="373"/>
      <c r="T130" s="373"/>
      <c r="U130" s="404">
        <f>+(U131+U140+U145+U148+U154+U160)/5</f>
        <v>0.84071428571428586</v>
      </c>
      <c r="V130" s="348">
        <f>+(V131+V140+V145+V148+V154+V160)/6</f>
        <v>0.77299867847723902</v>
      </c>
      <c r="W130" s="405">
        <f>+W131+W140+W145+W148+W154+W160</f>
        <v>0.58300000000000007</v>
      </c>
      <c r="X130" s="405">
        <f>+X131+X140+X145+X148+X154+X160</f>
        <v>0.78893336945304438</v>
      </c>
      <c r="Y130" s="348">
        <f>(Y131+Y140+Y145+Y148+Y154+Y160)/5</f>
        <v>0.21359110642145068</v>
      </c>
      <c r="Z130" s="348">
        <f>(Z131+Z140+Z145+Z148+Z154+Z160)/5</f>
        <v>0.67944991280412703</v>
      </c>
      <c r="AA130" s="405">
        <f>(AA131+AA140+AA145+AA148+AA154+AA160)</f>
        <v>0.17679704653535339</v>
      </c>
      <c r="AB130" s="405">
        <f>(AB131*E131)+(AB140*E140)+(AB145*E145)+(AB148*E148)+(AB154*E154)+(AB160*E160)</f>
        <v>0.53503946200167696</v>
      </c>
      <c r="AC130" s="1080"/>
      <c r="AD130" s="1090" t="s">
        <v>1968</v>
      </c>
      <c r="AE130" s="350"/>
      <c r="AF130" s="350"/>
      <c r="AG130" s="350"/>
      <c r="AH130" s="1088"/>
      <c r="AI130" s="1085"/>
    </row>
    <row r="131" spans="1:35" ht="122.4" customHeight="1" thickBot="1" x14ac:dyDescent="0.55000000000000004">
      <c r="A131" s="344"/>
      <c r="B131" s="1308" t="s">
        <v>1665</v>
      </c>
      <c r="C131" s="1310"/>
      <c r="D131" s="694"/>
      <c r="E131" s="349">
        <v>0.3</v>
      </c>
      <c r="F131" s="367"/>
      <c r="G131" s="368"/>
      <c r="H131" s="350"/>
      <c r="I131" s="369">
        <f>+AVERAGE(I132:I139)</f>
        <v>0.10484583990123605</v>
      </c>
      <c r="J131" s="369">
        <f>+AVERAGE(J132:J139)</f>
        <v>0.29872381632299655</v>
      </c>
      <c r="K131" s="370">
        <f>+K132+K133+K134+K135+K136+K137+K138+K139</f>
        <v>6.9160844314598499E-2</v>
      </c>
      <c r="L131" s="370">
        <f>+L132+L133+L134+L135+L136+L137+L138+L139</f>
        <v>0.33846857958759585</v>
      </c>
      <c r="M131" s="373"/>
      <c r="N131" s="407"/>
      <c r="O131" s="407"/>
      <c r="P131" s="407"/>
      <c r="Q131" s="407"/>
      <c r="R131" s="1180"/>
      <c r="S131" s="407"/>
      <c r="T131" s="407"/>
      <c r="U131" s="582">
        <f>+AVERAGE(U132:U139)</f>
        <v>0.9285714285714286</v>
      </c>
      <c r="V131" s="392">
        <f>+AVERAGE(V132:V139)</f>
        <v>0.9198774509803922</v>
      </c>
      <c r="W131" s="392">
        <f>+(W132+W133+W134+W135+W136+W137+W138+W139)*E131</f>
        <v>0.19500000000000001</v>
      </c>
      <c r="X131" s="392">
        <f>+(X132+X133+X134+X135+X136+X137+X138+X139)*E131</f>
        <v>0.25696617647058823</v>
      </c>
      <c r="Y131" s="351">
        <f>+AVERAGE(Y132:Y139)</f>
        <v>0.10670553210725324</v>
      </c>
      <c r="Z131" s="351">
        <f>+AVERAGE(Z132:Z139)</f>
        <v>0.58670067513174595</v>
      </c>
      <c r="AA131" s="351">
        <f>+(AA132+AA133+AA134+AA135+AA136+AA137+AA138+AA139)*E131</f>
        <v>2.1309546535353403E-2</v>
      </c>
      <c r="AB131" s="351">
        <f>+(AB132+AB133+AB134+AB135+AB136+AB137+AB138+AB139)</f>
        <v>0.51559228074633057</v>
      </c>
      <c r="AC131" s="764"/>
      <c r="AD131" s="350"/>
      <c r="AE131" s="350"/>
      <c r="AF131" s="350"/>
      <c r="AG131" s="350"/>
      <c r="AH131" s="1088"/>
      <c r="AI131" s="1085"/>
    </row>
    <row r="132" spans="1:35" ht="122.4" customHeight="1" thickBot="1" x14ac:dyDescent="0.45">
      <c r="A132" s="344"/>
      <c r="B132" s="1206" t="s">
        <v>563</v>
      </c>
      <c r="C132" s="1228" t="s">
        <v>564</v>
      </c>
      <c r="D132" s="547" t="s">
        <v>565</v>
      </c>
      <c r="E132" s="352">
        <v>0.15</v>
      </c>
      <c r="F132" s="353">
        <v>306059</v>
      </c>
      <c r="G132" s="837">
        <v>40000</v>
      </c>
      <c r="H132" s="373">
        <v>88693</v>
      </c>
      <c r="I132" s="362">
        <f t="shared" ref="I132:I137" si="54">+G132/F132</f>
        <v>0.13069375512564571</v>
      </c>
      <c r="J132" s="362">
        <f t="shared" ref="J132:J163" si="55">+H132/F132</f>
        <v>0.28979053058397236</v>
      </c>
      <c r="K132" s="363">
        <f t="shared" ref="K132:K137" si="56">+(G132/F132)*E132</f>
        <v>1.9604063268846856E-2</v>
      </c>
      <c r="L132" s="408">
        <f t="shared" ref="L132:L163" si="57">+(H132/F132)*E132</f>
        <v>4.3468579587595854E-2</v>
      </c>
      <c r="M132" s="409">
        <v>47985</v>
      </c>
      <c r="N132" s="580">
        <v>3268</v>
      </c>
      <c r="O132" s="929">
        <v>18520</v>
      </c>
      <c r="P132" s="929">
        <v>87295</v>
      </c>
      <c r="Q132" s="929">
        <v>17994</v>
      </c>
      <c r="R132" s="929">
        <f>17994-Q132</f>
        <v>0</v>
      </c>
      <c r="S132" s="409">
        <f t="shared" ref="S132:S138" si="58">+N132+O132+P132+Q132+R132</f>
        <v>127077</v>
      </c>
      <c r="T132" s="409">
        <f>+S132+M132</f>
        <v>175062</v>
      </c>
      <c r="U132" s="410">
        <v>1</v>
      </c>
      <c r="V132" s="361">
        <v>1</v>
      </c>
      <c r="W132" s="361">
        <f t="shared" ref="W132:W137" si="59">+U132*E132</f>
        <v>0.15</v>
      </c>
      <c r="X132" s="361">
        <f t="shared" ref="X132:X139" si="60">+V132*E132</f>
        <v>0.15</v>
      </c>
      <c r="Y132" s="361">
        <f t="shared" ref="Y132:Y137" si="61">+M132/F132</f>
        <v>0.15678349599260274</v>
      </c>
      <c r="Z132" s="361">
        <f>+T132/F132</f>
        <v>0.57198775399514468</v>
      </c>
      <c r="AA132" s="361">
        <f t="shared" ref="AA132:AA137" si="62">+Y132*E132</f>
        <v>2.3517524398890412E-2</v>
      </c>
      <c r="AB132" s="361">
        <f t="shared" ref="AB132:AB139" si="63">+Z132*E132</f>
        <v>8.5798163099271699E-2</v>
      </c>
      <c r="AC132" s="648" t="s">
        <v>1850</v>
      </c>
      <c r="AD132" s="645" t="s">
        <v>1893</v>
      </c>
      <c r="AE132" s="645" t="s">
        <v>2272</v>
      </c>
      <c r="AF132" s="1087" t="s">
        <v>2297</v>
      </c>
      <c r="AG132" s="1087" t="s">
        <v>2412</v>
      </c>
      <c r="AH132" s="677" t="s">
        <v>2447</v>
      </c>
      <c r="AI132" s="677" t="s">
        <v>2564</v>
      </c>
    </row>
    <row r="133" spans="1:35" ht="132.6" customHeight="1" thickBot="1" x14ac:dyDescent="0.45">
      <c r="A133" s="344"/>
      <c r="B133" s="1206" t="s">
        <v>566</v>
      </c>
      <c r="C133" s="1228" t="s">
        <v>567</v>
      </c>
      <c r="D133" s="633" t="s">
        <v>565</v>
      </c>
      <c r="E133" s="352">
        <v>0.1</v>
      </c>
      <c r="F133" s="353">
        <f>18*4</f>
        <v>72</v>
      </c>
      <c r="G133" s="372">
        <v>4</v>
      </c>
      <c r="H133" s="373">
        <v>18</v>
      </c>
      <c r="I133" s="362">
        <f t="shared" si="54"/>
        <v>5.5555555555555552E-2</v>
      </c>
      <c r="J133" s="362">
        <f t="shared" si="55"/>
        <v>0.25</v>
      </c>
      <c r="K133" s="363">
        <f t="shared" si="56"/>
        <v>5.5555555555555558E-3</v>
      </c>
      <c r="L133" s="411">
        <f t="shared" si="57"/>
        <v>2.5000000000000001E-2</v>
      </c>
      <c r="M133" s="715">
        <v>2</v>
      </c>
      <c r="N133" s="580">
        <v>4</v>
      </c>
      <c r="O133" s="580">
        <v>14</v>
      </c>
      <c r="P133" s="587">
        <v>0</v>
      </c>
      <c r="Q133" s="587">
        <v>10</v>
      </c>
      <c r="R133" s="587">
        <v>0</v>
      </c>
      <c r="S133" s="373">
        <f>+N133+O133+P133+Q133+R133</f>
        <v>28</v>
      </c>
      <c r="T133" s="373">
        <f>+S133+M133</f>
        <v>30</v>
      </c>
      <c r="U133" s="410">
        <f>+(M133/G133)</f>
        <v>0.5</v>
      </c>
      <c r="V133" s="361">
        <v>1</v>
      </c>
      <c r="W133" s="361">
        <f t="shared" si="59"/>
        <v>0.05</v>
      </c>
      <c r="X133" s="361">
        <f t="shared" si="60"/>
        <v>0.1</v>
      </c>
      <c r="Y133" s="361">
        <f t="shared" si="61"/>
        <v>2.7777777777777776E-2</v>
      </c>
      <c r="Z133" s="361">
        <f>+(M133/18)+(S133/(18*4))</f>
        <v>0.5</v>
      </c>
      <c r="AA133" s="361">
        <f t="shared" si="62"/>
        <v>2.7777777777777779E-3</v>
      </c>
      <c r="AB133" s="361">
        <f t="shared" si="63"/>
        <v>0.05</v>
      </c>
      <c r="AC133" s="648" t="s">
        <v>1850</v>
      </c>
      <c r="AD133" s="1091" t="s">
        <v>1926</v>
      </c>
      <c r="AE133" s="1092" t="s">
        <v>2303</v>
      </c>
      <c r="AF133" s="1087" t="s">
        <v>2297</v>
      </c>
      <c r="AG133" s="649" t="s">
        <v>2416</v>
      </c>
      <c r="AH133" s="677" t="s">
        <v>2447</v>
      </c>
      <c r="AI133" s="677" t="s">
        <v>2564</v>
      </c>
    </row>
    <row r="134" spans="1:35" ht="122.4" customHeight="1" thickBot="1" x14ac:dyDescent="0.45">
      <c r="A134" s="344"/>
      <c r="B134" s="1206" t="s">
        <v>568</v>
      </c>
      <c r="C134" s="1228" t="s">
        <v>569</v>
      </c>
      <c r="D134" s="701" t="s">
        <v>565</v>
      </c>
      <c r="E134" s="352">
        <v>0.05</v>
      </c>
      <c r="F134" s="353">
        <f>1800*4</f>
        <v>7200</v>
      </c>
      <c r="G134" s="412">
        <v>375</v>
      </c>
      <c r="H134" s="373">
        <v>1800</v>
      </c>
      <c r="I134" s="362">
        <f t="shared" si="54"/>
        <v>5.2083333333333336E-2</v>
      </c>
      <c r="J134" s="362">
        <f t="shared" si="55"/>
        <v>0.25</v>
      </c>
      <c r="K134" s="363">
        <f t="shared" si="56"/>
        <v>2.604166666666667E-3</v>
      </c>
      <c r="L134" s="411">
        <f t="shared" si="57"/>
        <v>1.2500000000000001E-2</v>
      </c>
      <c r="M134" s="413">
        <v>375</v>
      </c>
      <c r="N134" s="580">
        <v>9</v>
      </c>
      <c r="O134" s="580">
        <v>591</v>
      </c>
      <c r="P134" s="587">
        <v>728</v>
      </c>
      <c r="Q134" s="587">
        <v>205</v>
      </c>
      <c r="R134" s="587">
        <v>0</v>
      </c>
      <c r="S134" s="413">
        <f t="shared" si="58"/>
        <v>1533</v>
      </c>
      <c r="T134" s="413">
        <f>+S134+M134</f>
        <v>1908</v>
      </c>
      <c r="U134" s="410">
        <v>1</v>
      </c>
      <c r="V134" s="361">
        <f>+S134/H134</f>
        <v>0.85166666666666668</v>
      </c>
      <c r="W134" s="366">
        <f t="shared" si="59"/>
        <v>0.05</v>
      </c>
      <c r="X134" s="366">
        <f t="shared" si="60"/>
        <v>4.2583333333333334E-2</v>
      </c>
      <c r="Y134" s="361">
        <f t="shared" si="61"/>
        <v>5.2083333333333336E-2</v>
      </c>
      <c r="Z134" s="361">
        <f>+T134/F134</f>
        <v>0.26500000000000001</v>
      </c>
      <c r="AA134" s="361">
        <f t="shared" si="62"/>
        <v>2.604166666666667E-3</v>
      </c>
      <c r="AB134" s="361">
        <f t="shared" si="63"/>
        <v>1.3250000000000001E-2</v>
      </c>
      <c r="AC134" s="648" t="s">
        <v>1850</v>
      </c>
      <c r="AD134" s="1091" t="s">
        <v>1927</v>
      </c>
      <c r="AE134" s="1092" t="s">
        <v>2303</v>
      </c>
      <c r="AF134" s="1087" t="s">
        <v>2297</v>
      </c>
      <c r="AG134" s="1087" t="s">
        <v>2412</v>
      </c>
      <c r="AH134" s="677" t="s">
        <v>2447</v>
      </c>
      <c r="AI134" s="677" t="s">
        <v>2564</v>
      </c>
    </row>
    <row r="135" spans="1:35" ht="122.4" customHeight="1" thickBot="1" x14ac:dyDescent="0.45">
      <c r="A135" s="344"/>
      <c r="B135" s="1229" t="s">
        <v>570</v>
      </c>
      <c r="C135" s="1230" t="s">
        <v>571</v>
      </c>
      <c r="D135" s="702" t="s">
        <v>565</v>
      </c>
      <c r="E135" s="352">
        <v>0.1</v>
      </c>
      <c r="F135" s="353">
        <v>1</v>
      </c>
      <c r="G135" s="372">
        <v>0.2</v>
      </c>
      <c r="H135" s="373">
        <v>0.3</v>
      </c>
      <c r="I135" s="419">
        <f t="shared" si="54"/>
        <v>0.2</v>
      </c>
      <c r="J135" s="362">
        <f t="shared" si="55"/>
        <v>0.3</v>
      </c>
      <c r="K135" s="363">
        <f t="shared" si="56"/>
        <v>2.0000000000000004E-2</v>
      </c>
      <c r="L135" s="411">
        <f t="shared" si="57"/>
        <v>0.03</v>
      </c>
      <c r="M135" s="413">
        <v>0.2</v>
      </c>
      <c r="N135" s="580">
        <v>0</v>
      </c>
      <c r="O135" s="580">
        <v>0.625</v>
      </c>
      <c r="P135" s="587">
        <v>3.7499999999999999E-2</v>
      </c>
      <c r="Q135" s="587">
        <v>0.54</v>
      </c>
      <c r="R135" s="587">
        <v>0</v>
      </c>
      <c r="S135" s="413">
        <f t="shared" si="58"/>
        <v>1.2025000000000001</v>
      </c>
      <c r="T135" s="413">
        <f>+S135+M135</f>
        <v>1.4025000000000001</v>
      </c>
      <c r="U135" s="410">
        <f>+M135/G135</f>
        <v>1</v>
      </c>
      <c r="V135" s="361">
        <v>1</v>
      </c>
      <c r="W135" s="361">
        <f t="shared" si="59"/>
        <v>0.1</v>
      </c>
      <c r="X135" s="361">
        <f t="shared" si="60"/>
        <v>0.1</v>
      </c>
      <c r="Y135" s="361">
        <f t="shared" si="61"/>
        <v>0.2</v>
      </c>
      <c r="Z135" s="361">
        <v>1</v>
      </c>
      <c r="AA135" s="361">
        <f t="shared" si="62"/>
        <v>2.0000000000000004E-2</v>
      </c>
      <c r="AB135" s="361">
        <f t="shared" si="63"/>
        <v>0.1</v>
      </c>
      <c r="AC135" s="648" t="s">
        <v>1850</v>
      </c>
      <c r="AD135" s="649" t="s">
        <v>1928</v>
      </c>
      <c r="AE135" s="350"/>
      <c r="AF135" s="1087" t="s">
        <v>2297</v>
      </c>
      <c r="AG135" s="1087" t="s">
        <v>2412</v>
      </c>
      <c r="AH135" s="677" t="s">
        <v>2471</v>
      </c>
      <c r="AI135" s="677" t="s">
        <v>2564</v>
      </c>
    </row>
    <row r="136" spans="1:35" ht="122.4" customHeight="1" thickBot="1" x14ac:dyDescent="0.45">
      <c r="A136" s="344"/>
      <c r="B136" s="1229" t="s">
        <v>572</v>
      </c>
      <c r="C136" s="1230" t="s">
        <v>573</v>
      </c>
      <c r="D136" s="702" t="s">
        <v>565</v>
      </c>
      <c r="E136" s="352">
        <v>0.05</v>
      </c>
      <c r="F136" s="353">
        <v>1</v>
      </c>
      <c r="G136" s="372">
        <v>0.2</v>
      </c>
      <c r="H136" s="952">
        <v>0.3</v>
      </c>
      <c r="I136" s="423">
        <f t="shared" si="54"/>
        <v>0.2</v>
      </c>
      <c r="J136" s="419">
        <f t="shared" si="55"/>
        <v>0.3</v>
      </c>
      <c r="K136" s="363">
        <f t="shared" si="56"/>
        <v>1.0000000000000002E-2</v>
      </c>
      <c r="L136" s="411">
        <f t="shared" si="57"/>
        <v>1.4999999999999999E-2</v>
      </c>
      <c r="M136" s="413">
        <v>0.2</v>
      </c>
      <c r="N136" s="580"/>
      <c r="O136" s="580">
        <v>0.625</v>
      </c>
      <c r="P136" s="587">
        <v>3.7499999999999999E-2</v>
      </c>
      <c r="Q136" s="587">
        <v>0</v>
      </c>
      <c r="R136" s="587">
        <v>0.33750000000000002</v>
      </c>
      <c r="S136" s="413">
        <f t="shared" si="58"/>
        <v>1</v>
      </c>
      <c r="T136" s="413">
        <f>+S136+M136</f>
        <v>1.2</v>
      </c>
      <c r="U136" s="410">
        <f>+M136/G136</f>
        <v>1</v>
      </c>
      <c r="V136" s="361">
        <v>1</v>
      </c>
      <c r="W136" s="361">
        <f t="shared" si="59"/>
        <v>0.05</v>
      </c>
      <c r="X136" s="361">
        <f t="shared" si="60"/>
        <v>0.05</v>
      </c>
      <c r="Y136" s="361">
        <f t="shared" si="61"/>
        <v>0.2</v>
      </c>
      <c r="Z136" s="361">
        <v>1</v>
      </c>
      <c r="AA136" s="361">
        <f t="shared" si="62"/>
        <v>1.0000000000000002E-2</v>
      </c>
      <c r="AB136" s="361">
        <f t="shared" si="63"/>
        <v>0.05</v>
      </c>
      <c r="AC136" s="648" t="s">
        <v>1850</v>
      </c>
      <c r="AD136" s="649" t="s">
        <v>1928</v>
      </c>
      <c r="AE136" s="350"/>
      <c r="AF136" s="1087" t="s">
        <v>2297</v>
      </c>
      <c r="AG136" s="1087" t="s">
        <v>2412</v>
      </c>
      <c r="AH136" s="677" t="s">
        <v>2484</v>
      </c>
      <c r="AI136" s="677" t="s">
        <v>2564</v>
      </c>
    </row>
    <row r="137" spans="1:35" ht="122.4" customHeight="1" thickBot="1" x14ac:dyDescent="0.45">
      <c r="A137" s="344"/>
      <c r="B137" s="1229" t="s">
        <v>574</v>
      </c>
      <c r="C137" s="1230" t="s">
        <v>575</v>
      </c>
      <c r="D137" s="702" t="s">
        <v>565</v>
      </c>
      <c r="E137" s="352">
        <v>0.2</v>
      </c>
      <c r="F137" s="353">
        <f>34*4</f>
        <v>136</v>
      </c>
      <c r="G137" s="372">
        <v>6</v>
      </c>
      <c r="H137" s="372">
        <v>34</v>
      </c>
      <c r="I137" s="423">
        <f t="shared" si="54"/>
        <v>4.4117647058823532E-2</v>
      </c>
      <c r="J137" s="438">
        <f t="shared" si="55"/>
        <v>0.25</v>
      </c>
      <c r="K137" s="362">
        <f t="shared" si="56"/>
        <v>8.8235294117647075E-3</v>
      </c>
      <c r="L137" s="411">
        <f t="shared" si="57"/>
        <v>0.05</v>
      </c>
      <c r="M137" s="715">
        <v>6</v>
      </c>
      <c r="N137" s="580">
        <v>1</v>
      </c>
      <c r="O137" s="580">
        <v>0</v>
      </c>
      <c r="P137" s="587">
        <v>19</v>
      </c>
      <c r="Q137" s="587">
        <v>10</v>
      </c>
      <c r="R137" s="587">
        <v>0</v>
      </c>
      <c r="S137" s="373">
        <f t="shared" si="58"/>
        <v>30</v>
      </c>
      <c r="T137" s="373">
        <f>+S137+M137+28</f>
        <v>64</v>
      </c>
      <c r="U137" s="410">
        <f>+(M137/G137)</f>
        <v>1</v>
      </c>
      <c r="V137" s="361">
        <f>+S137/H137</f>
        <v>0.88235294117647056</v>
      </c>
      <c r="W137" s="361">
        <f t="shared" si="59"/>
        <v>0.2</v>
      </c>
      <c r="X137" s="361">
        <f t="shared" si="60"/>
        <v>0.17647058823529413</v>
      </c>
      <c r="Y137" s="361">
        <f t="shared" si="61"/>
        <v>4.4117647058823532E-2</v>
      </c>
      <c r="Z137" s="361">
        <f>+(34/(34*4)+(S137/(34*4)))</f>
        <v>0.47058823529411764</v>
      </c>
      <c r="AA137" s="361">
        <f t="shared" si="62"/>
        <v>8.8235294117647075E-3</v>
      </c>
      <c r="AB137" s="361">
        <f t="shared" si="63"/>
        <v>9.4117647058823528E-2</v>
      </c>
      <c r="AC137" s="648" t="s">
        <v>1850</v>
      </c>
      <c r="AD137" s="1091" t="s">
        <v>1927</v>
      </c>
      <c r="AE137" s="1092" t="s">
        <v>2303</v>
      </c>
      <c r="AF137" s="1087" t="s">
        <v>2297</v>
      </c>
      <c r="AG137" s="1087" t="s">
        <v>2412</v>
      </c>
      <c r="AH137" s="677" t="s">
        <v>2447</v>
      </c>
      <c r="AI137" s="677" t="s">
        <v>2564</v>
      </c>
    </row>
    <row r="138" spans="1:35" ht="122.4" customHeight="1" thickBot="1" x14ac:dyDescent="0.45">
      <c r="A138" s="344"/>
      <c r="B138" s="928" t="s">
        <v>576</v>
      </c>
      <c r="C138" s="1034" t="s">
        <v>577</v>
      </c>
      <c r="D138" s="702" t="s">
        <v>565</v>
      </c>
      <c r="E138" s="352">
        <v>0.3</v>
      </c>
      <c r="F138" s="353">
        <v>2</v>
      </c>
      <c r="G138" s="372">
        <v>0</v>
      </c>
      <c r="H138" s="373">
        <v>1</v>
      </c>
      <c r="I138" s="431"/>
      <c r="J138" s="431">
        <f t="shared" si="55"/>
        <v>0.5</v>
      </c>
      <c r="K138" s="363"/>
      <c r="L138" s="411">
        <f t="shared" si="57"/>
        <v>0.15</v>
      </c>
      <c r="M138" s="373"/>
      <c r="N138" s="580">
        <v>0.57499999999999996</v>
      </c>
      <c r="O138" s="587">
        <v>0.05</v>
      </c>
      <c r="P138" s="587">
        <v>0</v>
      </c>
      <c r="Q138" s="1231"/>
      <c r="R138" s="1231"/>
      <c r="S138" s="373">
        <f t="shared" si="58"/>
        <v>0.625</v>
      </c>
      <c r="T138" s="373">
        <f>+S138+M138</f>
        <v>0.625</v>
      </c>
      <c r="U138" s="410"/>
      <c r="V138" s="361">
        <f>+S138/H138</f>
        <v>0.625</v>
      </c>
      <c r="W138" s="361"/>
      <c r="X138" s="361">
        <f t="shared" si="60"/>
        <v>0.1875</v>
      </c>
      <c r="Y138" s="361"/>
      <c r="Z138" s="361">
        <f>+T138/F138</f>
        <v>0.3125</v>
      </c>
      <c r="AA138" s="361"/>
      <c r="AB138" s="361">
        <f t="shared" si="63"/>
        <v>9.375E-2</v>
      </c>
      <c r="AC138" s="648" t="s">
        <v>1850</v>
      </c>
      <c r="AD138" s="645" t="s">
        <v>1893</v>
      </c>
      <c r="AE138" s="645" t="s">
        <v>2272</v>
      </c>
      <c r="AF138" s="1087" t="s">
        <v>2297</v>
      </c>
      <c r="AG138" s="649" t="s">
        <v>2417</v>
      </c>
      <c r="AH138" s="649" t="s">
        <v>2472</v>
      </c>
      <c r="AI138" s="649" t="s">
        <v>2569</v>
      </c>
    </row>
    <row r="139" spans="1:35" ht="122.4" customHeight="1" thickBot="1" x14ac:dyDescent="0.45">
      <c r="A139" s="344"/>
      <c r="B139" s="1229" t="s">
        <v>578</v>
      </c>
      <c r="C139" s="1230" t="s">
        <v>579</v>
      </c>
      <c r="D139" s="703" t="s">
        <v>565</v>
      </c>
      <c r="E139" s="352">
        <v>0.05</v>
      </c>
      <c r="F139" s="353">
        <f>34*4</f>
        <v>136</v>
      </c>
      <c r="G139" s="372">
        <v>7</v>
      </c>
      <c r="H139" s="373">
        <v>34</v>
      </c>
      <c r="I139" s="362">
        <f>+G139/F139</f>
        <v>5.1470588235294115E-2</v>
      </c>
      <c r="J139" s="362">
        <f t="shared" si="55"/>
        <v>0.25</v>
      </c>
      <c r="K139" s="363">
        <f>+(G139/F139)*E139</f>
        <v>2.5735294117647058E-3</v>
      </c>
      <c r="L139" s="411">
        <f t="shared" si="57"/>
        <v>1.2500000000000001E-2</v>
      </c>
      <c r="M139" s="373">
        <v>9</v>
      </c>
      <c r="N139" s="580">
        <v>18</v>
      </c>
      <c r="O139" s="587">
        <v>2</v>
      </c>
      <c r="P139" s="587">
        <v>6</v>
      </c>
      <c r="Q139" s="1231">
        <v>18</v>
      </c>
      <c r="R139" s="1231">
        <v>0</v>
      </c>
      <c r="S139" s="373">
        <f>+N139+O139+P139+Q139+R139</f>
        <v>44</v>
      </c>
      <c r="T139" s="373">
        <f>+S139+M139+25</f>
        <v>78</v>
      </c>
      <c r="U139" s="410">
        <v>1</v>
      </c>
      <c r="V139" s="361">
        <v>1</v>
      </c>
      <c r="W139" s="361">
        <f>+U139*E139</f>
        <v>0.05</v>
      </c>
      <c r="X139" s="361">
        <f t="shared" si="60"/>
        <v>0.05</v>
      </c>
      <c r="Y139" s="361">
        <f>+M139/F139</f>
        <v>6.6176470588235295E-2</v>
      </c>
      <c r="Z139" s="361">
        <f>+(34/(34*4)+((S139/(34*4))))</f>
        <v>0.57352941176470584</v>
      </c>
      <c r="AA139" s="361">
        <f>+Y139*E139</f>
        <v>3.3088235294117651E-3</v>
      </c>
      <c r="AB139" s="361">
        <f t="shared" si="63"/>
        <v>2.8676470588235293E-2</v>
      </c>
      <c r="AC139" s="648" t="s">
        <v>1850</v>
      </c>
      <c r="AD139" s="649" t="s">
        <v>1929</v>
      </c>
      <c r="AE139" s="1092" t="s">
        <v>2303</v>
      </c>
      <c r="AF139" s="1087" t="s">
        <v>2297</v>
      </c>
      <c r="AG139" s="649" t="s">
        <v>2418</v>
      </c>
      <c r="AH139" s="1088"/>
      <c r="AI139" s="677" t="s">
        <v>2564</v>
      </c>
    </row>
    <row r="140" spans="1:35" ht="122.4" customHeight="1" thickBot="1" x14ac:dyDescent="0.55000000000000004">
      <c r="A140" s="344"/>
      <c r="B140" s="1308" t="s">
        <v>1666</v>
      </c>
      <c r="C140" s="1310"/>
      <c r="D140" s="693"/>
      <c r="E140" s="349">
        <v>0.1</v>
      </c>
      <c r="F140" s="353"/>
      <c r="G140" s="372"/>
      <c r="H140" s="373"/>
      <c r="I140" s="369">
        <f>+AVERAGE(I141:I144)</f>
        <v>0.22499999999999998</v>
      </c>
      <c r="J140" s="369">
        <f>+AVERAGE(J141:J144)</f>
        <v>0.29166666666666663</v>
      </c>
      <c r="K140" s="370">
        <f>+K141+K142+K143+K144</f>
        <v>0.23583333333333334</v>
      </c>
      <c r="L140" s="370">
        <f>+L141+L142+L143+L144</f>
        <v>0.27083333333333331</v>
      </c>
      <c r="M140" s="373"/>
      <c r="N140" s="407"/>
      <c r="O140" s="407"/>
      <c r="P140" s="407"/>
      <c r="Q140" s="407"/>
      <c r="R140" s="407"/>
      <c r="S140" s="407"/>
      <c r="T140" s="407"/>
      <c r="U140" s="582">
        <f>+AVERAGE(U141:U144)</f>
        <v>0.75</v>
      </c>
      <c r="V140" s="392">
        <f>+AVERAGE(V141:V144)</f>
        <v>1</v>
      </c>
      <c r="W140" s="392">
        <f>+(W141+W142+W143+W144)*E140</f>
        <v>9.0000000000000011E-2</v>
      </c>
      <c r="X140" s="392">
        <f>+(X141+X142+X143+X144)*E140</f>
        <v>0.1</v>
      </c>
      <c r="Y140" s="351">
        <f>+AVERAGE(Y141:Y144)</f>
        <v>0.36958333333333332</v>
      </c>
      <c r="Z140" s="351">
        <f>+AVERAGE(Z141:Z144)</f>
        <v>0.98750000000000004</v>
      </c>
      <c r="AA140" s="351">
        <f>+(AA141+AA142+AA143+AA144)*E140</f>
        <v>4.7750000000000001E-2</v>
      </c>
      <c r="AB140" s="351">
        <f>+(AB141+AB142+AB143+AB144)</f>
        <v>0.98750000000000004</v>
      </c>
      <c r="AC140" s="764"/>
      <c r="AD140" s="350"/>
      <c r="AE140" s="350"/>
      <c r="AF140" s="350"/>
      <c r="AG140" s="350"/>
      <c r="AH140" s="1088"/>
      <c r="AI140" s="1085"/>
    </row>
    <row r="141" spans="1:35" ht="122.4" customHeight="1" thickBot="1" x14ac:dyDescent="0.45">
      <c r="A141" s="344"/>
      <c r="B141" s="1206" t="s">
        <v>580</v>
      </c>
      <c r="C141" s="1204" t="s">
        <v>581</v>
      </c>
      <c r="D141" s="704" t="s">
        <v>565</v>
      </c>
      <c r="E141" s="352">
        <v>0.5</v>
      </c>
      <c r="F141" s="353">
        <v>1000</v>
      </c>
      <c r="G141" s="372">
        <v>250</v>
      </c>
      <c r="H141" s="373">
        <v>250</v>
      </c>
      <c r="I141" s="362">
        <f>+G141/F141</f>
        <v>0.25</v>
      </c>
      <c r="J141" s="362">
        <f t="shared" si="55"/>
        <v>0.25</v>
      </c>
      <c r="K141" s="363">
        <f>+(G141/F141)*E141</f>
        <v>0.125</v>
      </c>
      <c r="L141" s="411">
        <f t="shared" si="57"/>
        <v>0.125</v>
      </c>
      <c r="M141" s="373">
        <v>565</v>
      </c>
      <c r="N141" s="587">
        <v>186</v>
      </c>
      <c r="O141" s="587">
        <v>97</v>
      </c>
      <c r="P141" s="587">
        <v>259</v>
      </c>
      <c r="Q141" s="587">
        <v>30</v>
      </c>
      <c r="R141" s="587">
        <v>0</v>
      </c>
      <c r="S141" s="373">
        <f>+N141+O141+P141+Q141+R141</f>
        <v>572</v>
      </c>
      <c r="T141" s="373">
        <f>+S141+M141</f>
        <v>1137</v>
      </c>
      <c r="U141" s="410">
        <v>1</v>
      </c>
      <c r="V141" s="361">
        <v>1</v>
      </c>
      <c r="W141" s="361">
        <f>+U141*E141</f>
        <v>0.5</v>
      </c>
      <c r="X141" s="361">
        <f>+V141*E141</f>
        <v>0.5</v>
      </c>
      <c r="Y141" s="361">
        <f>+M141/F141</f>
        <v>0.56499999999999995</v>
      </c>
      <c r="Z141" s="361">
        <v>1</v>
      </c>
      <c r="AA141" s="361">
        <f>+Y141*E141</f>
        <v>0.28249999999999997</v>
      </c>
      <c r="AB141" s="361">
        <f>+Z141*E141</f>
        <v>0.5</v>
      </c>
      <c r="AC141" s="648" t="s">
        <v>1850</v>
      </c>
      <c r="AD141" s="645" t="s">
        <v>1893</v>
      </c>
      <c r="AE141" s="645" t="s">
        <v>2272</v>
      </c>
      <c r="AF141" s="1087" t="s">
        <v>2297</v>
      </c>
      <c r="AG141" s="649" t="s">
        <v>2419</v>
      </c>
      <c r="AH141" s="677" t="s">
        <v>2484</v>
      </c>
      <c r="AI141" s="677" t="s">
        <v>2564</v>
      </c>
    </row>
    <row r="142" spans="1:35" ht="122.4" customHeight="1" thickBot="1" x14ac:dyDescent="0.45">
      <c r="A142" s="344"/>
      <c r="B142" s="1206" t="s">
        <v>582</v>
      </c>
      <c r="C142" s="1204" t="s">
        <v>583</v>
      </c>
      <c r="D142" s="705" t="s">
        <v>565</v>
      </c>
      <c r="E142" s="379">
        <v>0.25</v>
      </c>
      <c r="F142" s="353">
        <v>100</v>
      </c>
      <c r="G142" s="372">
        <v>25</v>
      </c>
      <c r="H142" s="373">
        <v>25</v>
      </c>
      <c r="I142" s="362">
        <f>+G142/F142</f>
        <v>0.25</v>
      </c>
      <c r="J142" s="362">
        <f t="shared" si="55"/>
        <v>0.25</v>
      </c>
      <c r="K142" s="363">
        <f>+(G142/F142)*E142</f>
        <v>6.25E-2</v>
      </c>
      <c r="L142" s="411">
        <f t="shared" si="57"/>
        <v>6.25E-2</v>
      </c>
      <c r="M142" s="373">
        <v>58</v>
      </c>
      <c r="N142" s="587">
        <v>13</v>
      </c>
      <c r="O142" s="587">
        <v>1</v>
      </c>
      <c r="P142" s="587">
        <v>11</v>
      </c>
      <c r="Q142" s="587">
        <v>12</v>
      </c>
      <c r="R142" s="587">
        <v>0</v>
      </c>
      <c r="S142" s="373">
        <f t="shared" ref="S142:S144" si="64">+N142+O142+P142+Q142+R142</f>
        <v>37</v>
      </c>
      <c r="T142" s="373">
        <f>+S142+M142</f>
        <v>95</v>
      </c>
      <c r="U142" s="410">
        <v>1</v>
      </c>
      <c r="V142" s="361">
        <v>1</v>
      </c>
      <c r="W142" s="361">
        <f>+U142*E142</f>
        <v>0.25</v>
      </c>
      <c r="X142" s="361">
        <f>+V142*E142</f>
        <v>0.25</v>
      </c>
      <c r="Y142" s="361">
        <f>+M142/F142</f>
        <v>0.57999999999999996</v>
      </c>
      <c r="Z142" s="361">
        <f>+T142/F142</f>
        <v>0.95</v>
      </c>
      <c r="AA142" s="361">
        <f>+Y142*E142</f>
        <v>0.14499999999999999</v>
      </c>
      <c r="AB142" s="361">
        <f>+Z142*E142</f>
        <v>0.23749999999999999</v>
      </c>
      <c r="AC142" s="648" t="s">
        <v>1850</v>
      </c>
      <c r="AD142" s="1092" t="s">
        <v>1930</v>
      </c>
      <c r="AE142" s="1092" t="s">
        <v>2303</v>
      </c>
      <c r="AF142" s="1087" t="s">
        <v>2297</v>
      </c>
      <c r="AG142" s="1087" t="s">
        <v>2412</v>
      </c>
      <c r="AH142" s="677" t="s">
        <v>2447</v>
      </c>
      <c r="AI142" s="677" t="s">
        <v>2564</v>
      </c>
    </row>
    <row r="143" spans="1:35" ht="122.4" customHeight="1" thickBot="1" x14ac:dyDescent="0.45">
      <c r="A143" s="344"/>
      <c r="B143" s="1206" t="s">
        <v>584</v>
      </c>
      <c r="C143" s="1195" t="s">
        <v>585</v>
      </c>
      <c r="D143" s="704" t="s">
        <v>565</v>
      </c>
      <c r="E143" s="352">
        <v>0.15</v>
      </c>
      <c r="F143" s="353">
        <v>6</v>
      </c>
      <c r="G143" s="372">
        <v>1</v>
      </c>
      <c r="H143" s="373">
        <v>2</v>
      </c>
      <c r="I143" s="362">
        <f>+G143/F143</f>
        <v>0.16666666666666666</v>
      </c>
      <c r="J143" s="362">
        <f t="shared" si="55"/>
        <v>0.33333333333333331</v>
      </c>
      <c r="K143" s="363">
        <f>+(G143/F143)*E143</f>
        <v>2.4999999999999998E-2</v>
      </c>
      <c r="L143" s="411">
        <f t="shared" si="57"/>
        <v>4.9999999999999996E-2</v>
      </c>
      <c r="M143" s="373">
        <v>2</v>
      </c>
      <c r="N143" s="587">
        <v>1</v>
      </c>
      <c r="O143" s="587">
        <v>1</v>
      </c>
      <c r="P143" s="587">
        <v>12</v>
      </c>
      <c r="Q143" s="587">
        <v>4</v>
      </c>
      <c r="R143" s="587">
        <v>0</v>
      </c>
      <c r="S143" s="373">
        <f t="shared" si="64"/>
        <v>18</v>
      </c>
      <c r="T143" s="373">
        <f>+S143+M143</f>
        <v>20</v>
      </c>
      <c r="U143" s="410">
        <v>1</v>
      </c>
      <c r="V143" s="361">
        <v>1</v>
      </c>
      <c r="W143" s="361">
        <f>+U143*E143</f>
        <v>0.15</v>
      </c>
      <c r="X143" s="361">
        <f>+V143*E143</f>
        <v>0.15</v>
      </c>
      <c r="Y143" s="361">
        <f>+M143/F143</f>
        <v>0.33333333333333331</v>
      </c>
      <c r="Z143" s="361">
        <v>1</v>
      </c>
      <c r="AA143" s="361">
        <f>+Y143*E143</f>
        <v>4.9999999999999996E-2</v>
      </c>
      <c r="AB143" s="361">
        <f>+Z143*E143</f>
        <v>0.15</v>
      </c>
      <c r="AC143" s="648" t="s">
        <v>1850</v>
      </c>
      <c r="AD143" s="645" t="s">
        <v>1893</v>
      </c>
      <c r="AE143" s="645" t="s">
        <v>2272</v>
      </c>
      <c r="AF143" s="1087" t="s">
        <v>2297</v>
      </c>
      <c r="AG143" s="1087" t="s">
        <v>2412</v>
      </c>
      <c r="AH143" s="1087" t="s">
        <v>2412</v>
      </c>
      <c r="AI143" s="677" t="s">
        <v>2564</v>
      </c>
    </row>
    <row r="144" spans="1:35" ht="122.4" customHeight="1" thickBot="1" x14ac:dyDescent="0.45">
      <c r="A144" s="344"/>
      <c r="B144" s="1206" t="s">
        <v>586</v>
      </c>
      <c r="C144" s="1195" t="s">
        <v>587</v>
      </c>
      <c r="D144" s="704" t="s">
        <v>565</v>
      </c>
      <c r="E144" s="352">
        <v>0.1</v>
      </c>
      <c r="F144" s="353">
        <v>150</v>
      </c>
      <c r="G144" s="372">
        <v>35</v>
      </c>
      <c r="H144" s="373">
        <v>50</v>
      </c>
      <c r="I144" s="362">
        <f>+G144/F144</f>
        <v>0.23333333333333334</v>
      </c>
      <c r="J144" s="362">
        <f t="shared" si="55"/>
        <v>0.33333333333333331</v>
      </c>
      <c r="K144" s="363">
        <f>+(G144/F144)*E144</f>
        <v>2.3333333333333334E-2</v>
      </c>
      <c r="L144" s="411">
        <f t="shared" si="57"/>
        <v>3.3333333333333333E-2</v>
      </c>
      <c r="M144" s="373">
        <v>0</v>
      </c>
      <c r="N144" s="587">
        <v>0</v>
      </c>
      <c r="O144" s="587">
        <v>120</v>
      </c>
      <c r="P144" s="587">
        <v>0</v>
      </c>
      <c r="Q144" s="587">
        <v>60</v>
      </c>
      <c r="R144" s="587">
        <v>0</v>
      </c>
      <c r="S144" s="373">
        <f t="shared" si="64"/>
        <v>180</v>
      </c>
      <c r="T144" s="373">
        <f>+S144+M144</f>
        <v>180</v>
      </c>
      <c r="U144" s="433">
        <f>+(M144/G144)</f>
        <v>0</v>
      </c>
      <c r="V144" s="361">
        <v>1</v>
      </c>
      <c r="W144" s="361">
        <f>+U144*E144</f>
        <v>0</v>
      </c>
      <c r="X144" s="361">
        <f>+V144*E144</f>
        <v>0.1</v>
      </c>
      <c r="Y144" s="361">
        <f>+M144/F144</f>
        <v>0</v>
      </c>
      <c r="Z144" s="361">
        <v>1</v>
      </c>
      <c r="AA144" s="361">
        <f>+Y144*E144</f>
        <v>0</v>
      </c>
      <c r="AB144" s="361">
        <f>+Z144*E144</f>
        <v>0.1</v>
      </c>
      <c r="AC144" s="648" t="s">
        <v>1850</v>
      </c>
      <c r="AD144" s="645" t="s">
        <v>1893</v>
      </c>
      <c r="AE144" s="645" t="s">
        <v>2272</v>
      </c>
      <c r="AF144" s="1087" t="s">
        <v>2297</v>
      </c>
      <c r="AG144" s="1087" t="s">
        <v>2412</v>
      </c>
      <c r="AH144" s="1087" t="s">
        <v>2471</v>
      </c>
      <c r="AI144" s="677" t="s">
        <v>2564</v>
      </c>
    </row>
    <row r="145" spans="1:35" ht="122.4" customHeight="1" thickBot="1" x14ac:dyDescent="0.55000000000000004">
      <c r="A145" s="344"/>
      <c r="B145" s="1308" t="s">
        <v>1667</v>
      </c>
      <c r="C145" s="1310"/>
      <c r="D145" s="394"/>
      <c r="E145" s="349">
        <v>0.1</v>
      </c>
      <c r="F145" s="353"/>
      <c r="G145" s="372"/>
      <c r="H145" s="373"/>
      <c r="I145" s="953">
        <f>+AVERAGE(I146:I147)</f>
        <v>0.15208333333333332</v>
      </c>
      <c r="J145" s="369">
        <f>+AVERAGE(J146:J147)</f>
        <v>0.25</v>
      </c>
      <c r="K145" s="370">
        <f>+K146+K147</f>
        <v>0.24379166666666666</v>
      </c>
      <c r="L145" s="370">
        <f>+L146+L147</f>
        <v>0.25</v>
      </c>
      <c r="M145" s="373"/>
      <c r="N145" s="407"/>
      <c r="O145" s="407"/>
      <c r="P145" s="407"/>
      <c r="Q145" s="407"/>
      <c r="R145" s="407"/>
      <c r="S145" s="407"/>
      <c r="T145" s="407"/>
      <c r="U145" s="392">
        <f>+AVERAGE(U146:U148)</f>
        <v>1</v>
      </c>
      <c r="V145" s="582">
        <f>+AVERAGE(V146:V148)</f>
        <v>0.94944444444444454</v>
      </c>
      <c r="W145" s="392">
        <f>+(W146+W147)*E145</f>
        <v>0.1</v>
      </c>
      <c r="X145" s="392">
        <f>+(X146+X147)*E145</f>
        <v>0.1</v>
      </c>
      <c r="Y145" s="351">
        <f>+AVERAGE(Y146:Y147)</f>
        <v>0.18124999999999999</v>
      </c>
      <c r="Z145" s="351">
        <f>+AVERAGE(Z146:Z147)</f>
        <v>0.67138888888888892</v>
      </c>
      <c r="AA145" s="351">
        <f>+(AA146+AA147)*E145</f>
        <v>2.5487500000000003E-2</v>
      </c>
      <c r="AB145" s="351">
        <f>+(AB146+AB147)</f>
        <v>0.59612777777777781</v>
      </c>
      <c r="AC145" s="764"/>
      <c r="AD145" s="350"/>
      <c r="AE145" s="350"/>
      <c r="AF145" s="350"/>
      <c r="AG145" s="350"/>
      <c r="AH145" s="1088"/>
      <c r="AI145" s="1085"/>
    </row>
    <row r="146" spans="1:35" ht="122.4" customHeight="1" thickBot="1" x14ac:dyDescent="0.45">
      <c r="A146" s="344"/>
      <c r="B146" s="1206" t="s">
        <v>588</v>
      </c>
      <c r="C146" s="1195" t="s">
        <v>589</v>
      </c>
      <c r="D146" s="704" t="s">
        <v>565</v>
      </c>
      <c r="E146" s="352">
        <v>0.19</v>
      </c>
      <c r="F146" s="353">
        <f>1800*4</f>
        <v>7200</v>
      </c>
      <c r="G146" s="372">
        <v>30</v>
      </c>
      <c r="H146" s="372">
        <v>1800</v>
      </c>
      <c r="I146" s="423">
        <f>+G146/F146</f>
        <v>4.1666666666666666E-3</v>
      </c>
      <c r="J146" s="362">
        <f t="shared" si="55"/>
        <v>0.25</v>
      </c>
      <c r="K146" s="363">
        <f>+(G146/F146)*E146</f>
        <v>7.9166666666666665E-4</v>
      </c>
      <c r="L146" s="411">
        <f t="shared" si="57"/>
        <v>4.7500000000000001E-2</v>
      </c>
      <c r="M146" s="373">
        <v>450</v>
      </c>
      <c r="N146" s="587">
        <v>0</v>
      </c>
      <c r="O146" s="587">
        <v>0</v>
      </c>
      <c r="P146" s="587">
        <v>2756</v>
      </c>
      <c r="Q146" s="587">
        <v>0</v>
      </c>
      <c r="R146" s="587">
        <v>0</v>
      </c>
      <c r="S146" s="373">
        <f>+N146+O146+P146+Q146+R146</f>
        <v>2756</v>
      </c>
      <c r="T146" s="373">
        <f>+S146+M146+2502</f>
        <v>5708</v>
      </c>
      <c r="U146" s="585">
        <v>1</v>
      </c>
      <c r="V146" s="361">
        <v>1</v>
      </c>
      <c r="W146" s="361">
        <f>+U146*E146</f>
        <v>0.19</v>
      </c>
      <c r="X146" s="361">
        <f>+V146*E146</f>
        <v>0.19</v>
      </c>
      <c r="Y146" s="361">
        <f>+M146/F146</f>
        <v>6.25E-2</v>
      </c>
      <c r="Z146" s="361">
        <f>+T146/F146</f>
        <v>0.7927777777777778</v>
      </c>
      <c r="AA146" s="361">
        <f>+Y146*E146</f>
        <v>1.1875E-2</v>
      </c>
      <c r="AB146" s="361">
        <f>+Z146*E146</f>
        <v>0.15062777777777778</v>
      </c>
      <c r="AC146" s="648" t="s">
        <v>1850</v>
      </c>
      <c r="AD146" s="649" t="s">
        <v>1930</v>
      </c>
      <c r="AE146" s="645" t="s">
        <v>2272</v>
      </c>
      <c r="AF146" s="1092" t="s">
        <v>1930</v>
      </c>
      <c r="AG146" s="1092" t="s">
        <v>2420</v>
      </c>
      <c r="AH146" s="1087" t="s">
        <v>2412</v>
      </c>
      <c r="AI146" s="677" t="s">
        <v>2564</v>
      </c>
    </row>
    <row r="147" spans="1:35" ht="122.4" customHeight="1" thickBot="1" x14ac:dyDescent="0.45">
      <c r="A147" s="344"/>
      <c r="B147" s="1206" t="s">
        <v>590</v>
      </c>
      <c r="C147" s="1195" t="s">
        <v>591</v>
      </c>
      <c r="D147" s="706" t="s">
        <v>565</v>
      </c>
      <c r="E147" s="352">
        <v>0.81</v>
      </c>
      <c r="F147" s="353">
        <v>1</v>
      </c>
      <c r="G147" s="372">
        <v>0.3</v>
      </c>
      <c r="H147" s="373">
        <v>0.25</v>
      </c>
      <c r="I147" s="431">
        <f>+G147/F147</f>
        <v>0.3</v>
      </c>
      <c r="J147" s="362">
        <f t="shared" si="55"/>
        <v>0.25</v>
      </c>
      <c r="K147" s="363">
        <f>+(G147/F147)*E147</f>
        <v>0.24299999999999999</v>
      </c>
      <c r="L147" s="411">
        <f t="shared" si="57"/>
        <v>0.20250000000000001</v>
      </c>
      <c r="M147" s="373">
        <v>0.3</v>
      </c>
      <c r="N147" s="587">
        <v>6.25E-2</v>
      </c>
      <c r="O147" s="587">
        <v>0.185</v>
      </c>
      <c r="P147" s="587">
        <v>0</v>
      </c>
      <c r="Q147" s="587">
        <v>0</v>
      </c>
      <c r="R147" s="587">
        <v>2.5000000000000001E-3</v>
      </c>
      <c r="S147" s="373">
        <f>+N147+O147+P147+Q147+R147</f>
        <v>0.25</v>
      </c>
      <c r="T147" s="373">
        <f>+S147+M147</f>
        <v>0.55000000000000004</v>
      </c>
      <c r="U147" s="410">
        <v>1</v>
      </c>
      <c r="V147" s="361">
        <f>+S147/H147</f>
        <v>1</v>
      </c>
      <c r="W147" s="361">
        <f>+U147*E147</f>
        <v>0.81</v>
      </c>
      <c r="X147" s="361">
        <f>+V147*E147</f>
        <v>0.81</v>
      </c>
      <c r="Y147" s="361">
        <f>+M147/F147</f>
        <v>0.3</v>
      </c>
      <c r="Z147" s="361">
        <f>+T147/F147</f>
        <v>0.55000000000000004</v>
      </c>
      <c r="AA147" s="361">
        <f>+Y147*E147</f>
        <v>0.24299999999999999</v>
      </c>
      <c r="AB147" s="361">
        <f>+Z147*E147</f>
        <v>0.44550000000000006</v>
      </c>
      <c r="AC147" s="648" t="s">
        <v>1850</v>
      </c>
      <c r="AD147" s="645" t="s">
        <v>1893</v>
      </c>
      <c r="AE147" s="645" t="s">
        <v>2272</v>
      </c>
      <c r="AF147" s="1087" t="s">
        <v>2297</v>
      </c>
      <c r="AG147" s="1087" t="s">
        <v>2412</v>
      </c>
      <c r="AH147" s="1087" t="s">
        <v>2412</v>
      </c>
      <c r="AI147" s="677" t="s">
        <v>2564</v>
      </c>
    </row>
    <row r="148" spans="1:35" ht="122.4" customHeight="1" thickBot="1" x14ac:dyDescent="0.55000000000000004">
      <c r="A148" s="344"/>
      <c r="B148" s="1314" t="s">
        <v>1668</v>
      </c>
      <c r="C148" s="1315"/>
      <c r="D148" s="690"/>
      <c r="E148" s="349">
        <v>0.05</v>
      </c>
      <c r="F148" s="353"/>
      <c r="G148" s="372"/>
      <c r="H148" s="373"/>
      <c r="I148" s="369">
        <f>+AVERAGE(I149:I153)</f>
        <v>0.21333333333333335</v>
      </c>
      <c r="J148" s="369">
        <f>+AVERAGE(J149:J153)</f>
        <v>0.57199999999999995</v>
      </c>
      <c r="K148" s="370">
        <f>+K149+K150+K151+K152+K153</f>
        <v>0.128</v>
      </c>
      <c r="L148" s="370">
        <f>+L149+L150+L151+L152+L153</f>
        <v>0.57200000000000006</v>
      </c>
      <c r="M148" s="373"/>
      <c r="N148" s="407"/>
      <c r="O148" s="407"/>
      <c r="P148" s="407"/>
      <c r="Q148" s="407"/>
      <c r="R148" s="407"/>
      <c r="S148" s="407"/>
      <c r="T148" s="407"/>
      <c r="U148" s="582">
        <f>+AVERAGE(U149:U153)</f>
        <v>1</v>
      </c>
      <c r="V148" s="392">
        <f>+AVERAGE(V149:V153)</f>
        <v>0.84833333333333338</v>
      </c>
      <c r="W148" s="392">
        <f>+(W149+W150+W151+W152+W153)*E148</f>
        <v>3.0000000000000006E-2</v>
      </c>
      <c r="X148" s="392">
        <f>+(X149+X150+X151+X152+X153)*E148</f>
        <v>4.2416666666666665E-2</v>
      </c>
      <c r="Y148" s="351">
        <f>+AVERAGE(Y149:Y153)</f>
        <v>0.21666666666666667</v>
      </c>
      <c r="Z148" s="351">
        <f>+AVERAGE(Z149:Z153)</f>
        <v>0.64</v>
      </c>
      <c r="AA148" s="351">
        <f>+(AA149+AA150+AA151+AA152+AA153)*E148</f>
        <v>6.5000000000000006E-3</v>
      </c>
      <c r="AB148" s="351">
        <f>+(AB149+AB150+AB151+AB152+AB153)</f>
        <v>0.64</v>
      </c>
      <c r="AC148" s="764"/>
      <c r="AD148" s="350"/>
      <c r="AE148" s="350"/>
      <c r="AF148" s="350"/>
      <c r="AG148" s="350"/>
      <c r="AH148" s="1088"/>
      <c r="AI148" s="1085"/>
    </row>
    <row r="149" spans="1:35" ht="122.4" customHeight="1" thickBot="1" x14ac:dyDescent="0.45">
      <c r="A149" s="344"/>
      <c r="B149" s="1232" t="s">
        <v>592</v>
      </c>
      <c r="C149" s="1233" t="s">
        <v>593</v>
      </c>
      <c r="D149" s="547" t="s">
        <v>565</v>
      </c>
      <c r="E149" s="352">
        <v>0.2</v>
      </c>
      <c r="F149" s="353">
        <v>1</v>
      </c>
      <c r="G149" s="372">
        <v>7.0000000000000007E-2</v>
      </c>
      <c r="H149" s="373">
        <v>0.48</v>
      </c>
      <c r="I149" s="362">
        <f>+G149/F149</f>
        <v>7.0000000000000007E-2</v>
      </c>
      <c r="J149" s="362">
        <f t="shared" si="55"/>
        <v>0.48</v>
      </c>
      <c r="K149" s="363">
        <f>+(G149/F149)*E149</f>
        <v>1.4000000000000002E-2</v>
      </c>
      <c r="L149" s="411">
        <f t="shared" si="57"/>
        <v>9.6000000000000002E-2</v>
      </c>
      <c r="M149" s="373">
        <v>0.08</v>
      </c>
      <c r="N149" s="587">
        <v>0.12</v>
      </c>
      <c r="O149" s="587">
        <v>0.28000000000000003</v>
      </c>
      <c r="P149" s="587">
        <v>0</v>
      </c>
      <c r="Q149" s="587">
        <v>0.41</v>
      </c>
      <c r="R149" s="587">
        <v>0</v>
      </c>
      <c r="S149" s="373">
        <f>+N149+O149+P149+Q149+R149</f>
        <v>0.81</v>
      </c>
      <c r="T149" s="373">
        <f>+S149+M149</f>
        <v>0.89</v>
      </c>
      <c r="U149" s="410">
        <v>1</v>
      </c>
      <c r="V149" s="361">
        <v>1</v>
      </c>
      <c r="W149" s="361">
        <f>+U149*E149</f>
        <v>0.2</v>
      </c>
      <c r="X149" s="361">
        <f>+V149*E149</f>
        <v>0.2</v>
      </c>
      <c r="Y149" s="361">
        <f>+M149/F149</f>
        <v>0.08</v>
      </c>
      <c r="Z149" s="361">
        <f>+T149/F149</f>
        <v>0.89</v>
      </c>
      <c r="AA149" s="361">
        <f>+Y149*E149</f>
        <v>1.6E-2</v>
      </c>
      <c r="AB149" s="361">
        <f>+Z149*E149</f>
        <v>0.17800000000000002</v>
      </c>
      <c r="AC149" s="648" t="s">
        <v>1850</v>
      </c>
      <c r="AD149" s="645" t="s">
        <v>1893</v>
      </c>
      <c r="AE149" s="645" t="s">
        <v>2272</v>
      </c>
      <c r="AF149" s="1087" t="s">
        <v>2297</v>
      </c>
      <c r="AG149" s="1087" t="s">
        <v>2412</v>
      </c>
      <c r="AH149" s="1087" t="s">
        <v>2412</v>
      </c>
      <c r="AI149" s="677" t="s">
        <v>2564</v>
      </c>
    </row>
    <row r="150" spans="1:35" ht="122.4" customHeight="1" thickBot="1" x14ac:dyDescent="0.45">
      <c r="A150" s="344"/>
      <c r="B150" s="1234" t="s">
        <v>594</v>
      </c>
      <c r="C150" s="1235" t="s">
        <v>595</v>
      </c>
      <c r="D150" s="707" t="s">
        <v>565</v>
      </c>
      <c r="E150" s="352">
        <v>0.2</v>
      </c>
      <c r="F150" s="353">
        <v>1</v>
      </c>
      <c r="G150" s="372">
        <v>7.0000000000000007E-2</v>
      </c>
      <c r="H150" s="373">
        <v>0.48</v>
      </c>
      <c r="I150" s="362">
        <f>+G150/F150</f>
        <v>7.0000000000000007E-2</v>
      </c>
      <c r="J150" s="362">
        <f t="shared" si="55"/>
        <v>0.48</v>
      </c>
      <c r="K150" s="363">
        <f>+(G150/F150)*E150</f>
        <v>1.4000000000000002E-2</v>
      </c>
      <c r="L150" s="411">
        <f t="shared" si="57"/>
        <v>9.6000000000000002E-2</v>
      </c>
      <c r="M150" s="373">
        <v>7.0000000000000007E-2</v>
      </c>
      <c r="N150" s="587">
        <v>0.12</v>
      </c>
      <c r="O150" s="587">
        <v>0.18</v>
      </c>
      <c r="P150" s="587">
        <v>0</v>
      </c>
      <c r="Q150" s="587">
        <v>0.14000000000000001</v>
      </c>
      <c r="R150" s="587">
        <v>0</v>
      </c>
      <c r="S150" s="373">
        <f t="shared" ref="S150:S153" si="65">+N150+O150+P150+Q150+R150</f>
        <v>0.44</v>
      </c>
      <c r="T150" s="373">
        <f>+S150+M150</f>
        <v>0.51</v>
      </c>
      <c r="U150" s="410">
        <f>+(M150/G150)</f>
        <v>1</v>
      </c>
      <c r="V150" s="361">
        <f>+S150/H150</f>
        <v>0.91666666666666674</v>
      </c>
      <c r="W150" s="361">
        <f>+U150*E150</f>
        <v>0.2</v>
      </c>
      <c r="X150" s="361">
        <f>+V150*E150</f>
        <v>0.18333333333333335</v>
      </c>
      <c r="Y150" s="361">
        <f>+M150/F150</f>
        <v>7.0000000000000007E-2</v>
      </c>
      <c r="Z150" s="361">
        <f>+T150/F150</f>
        <v>0.51</v>
      </c>
      <c r="AA150" s="361">
        <f>+Y150*E150</f>
        <v>1.4000000000000002E-2</v>
      </c>
      <c r="AB150" s="361">
        <f>+Z150*E150</f>
        <v>0.10200000000000001</v>
      </c>
      <c r="AC150" s="648" t="s">
        <v>1850</v>
      </c>
      <c r="AD150" s="645" t="s">
        <v>1893</v>
      </c>
      <c r="AE150" s="645" t="s">
        <v>2272</v>
      </c>
      <c r="AF150" s="1087" t="s">
        <v>2297</v>
      </c>
      <c r="AG150" s="1087" t="s">
        <v>2412</v>
      </c>
      <c r="AH150" s="1087" t="s">
        <v>2412</v>
      </c>
      <c r="AI150" s="677" t="s">
        <v>2564</v>
      </c>
    </row>
    <row r="151" spans="1:35" ht="122.4" customHeight="1" thickBot="1" x14ac:dyDescent="0.45">
      <c r="A151" s="344"/>
      <c r="B151" s="1232" t="s">
        <v>596</v>
      </c>
      <c r="C151" s="1233" t="s">
        <v>597</v>
      </c>
      <c r="D151" s="547" t="s">
        <v>565</v>
      </c>
      <c r="E151" s="352">
        <v>0.2</v>
      </c>
      <c r="F151" s="353">
        <v>1</v>
      </c>
      <c r="G151" s="372">
        <v>0.5</v>
      </c>
      <c r="H151" s="373">
        <v>0.5</v>
      </c>
      <c r="I151" s="362">
        <f>+G151/F151</f>
        <v>0.5</v>
      </c>
      <c r="J151" s="362">
        <f t="shared" si="55"/>
        <v>0.5</v>
      </c>
      <c r="K151" s="363">
        <f>+(G151/F151)*E151</f>
        <v>0.1</v>
      </c>
      <c r="L151" s="411">
        <f t="shared" si="57"/>
        <v>0.1</v>
      </c>
      <c r="M151" s="373">
        <v>0.5</v>
      </c>
      <c r="N151" s="587">
        <v>0.25</v>
      </c>
      <c r="O151" s="587">
        <v>0.33</v>
      </c>
      <c r="P151" s="587">
        <v>0</v>
      </c>
      <c r="Q151" s="587">
        <v>0.1</v>
      </c>
      <c r="R151" s="587">
        <v>0</v>
      </c>
      <c r="S151" s="373">
        <f t="shared" si="65"/>
        <v>0.68</v>
      </c>
      <c r="T151" s="373">
        <f>+S151+M151</f>
        <v>1.1800000000000002</v>
      </c>
      <c r="U151" s="410">
        <f>+(M151/G151)</f>
        <v>1</v>
      </c>
      <c r="V151" s="361">
        <v>1</v>
      </c>
      <c r="W151" s="361">
        <f>+U151*E151</f>
        <v>0.2</v>
      </c>
      <c r="X151" s="361">
        <f>+V151*E151</f>
        <v>0.2</v>
      </c>
      <c r="Y151" s="361">
        <f>+M151/F151</f>
        <v>0.5</v>
      </c>
      <c r="Z151" s="361">
        <v>1</v>
      </c>
      <c r="AA151" s="361">
        <f>+Y151*E151</f>
        <v>0.1</v>
      </c>
      <c r="AB151" s="361">
        <f>+Z151*E151</f>
        <v>0.2</v>
      </c>
      <c r="AC151" s="648" t="s">
        <v>1850</v>
      </c>
      <c r="AD151" s="645" t="s">
        <v>1893</v>
      </c>
      <c r="AE151" s="645" t="s">
        <v>1591</v>
      </c>
      <c r="AF151" s="1087" t="s">
        <v>2297</v>
      </c>
      <c r="AG151" s="1087" t="s">
        <v>2412</v>
      </c>
      <c r="AH151" s="1087" t="s">
        <v>2412</v>
      </c>
      <c r="AI151" s="677" t="s">
        <v>2564</v>
      </c>
    </row>
    <row r="152" spans="1:35" ht="122.4" customHeight="1" thickBot="1" x14ac:dyDescent="0.45">
      <c r="A152" s="344"/>
      <c r="B152" s="1234" t="s">
        <v>598</v>
      </c>
      <c r="C152" s="1235" t="s">
        <v>599</v>
      </c>
      <c r="D152" s="707" t="s">
        <v>565</v>
      </c>
      <c r="E152" s="352">
        <v>0.2</v>
      </c>
      <c r="F152" s="353">
        <v>1</v>
      </c>
      <c r="G152" s="372">
        <v>0</v>
      </c>
      <c r="H152" s="373">
        <v>0.4</v>
      </c>
      <c r="I152" s="362"/>
      <c r="J152" s="362">
        <f t="shared" si="55"/>
        <v>0.4</v>
      </c>
      <c r="K152" s="363"/>
      <c r="L152" s="411">
        <f t="shared" si="57"/>
        <v>8.0000000000000016E-2</v>
      </c>
      <c r="M152" s="373"/>
      <c r="N152" s="587">
        <v>0.06</v>
      </c>
      <c r="O152" s="587">
        <v>0.19</v>
      </c>
      <c r="P152" s="587">
        <v>0.1</v>
      </c>
      <c r="Q152" s="587">
        <v>0</v>
      </c>
      <c r="R152" s="587">
        <v>0</v>
      </c>
      <c r="S152" s="373">
        <f t="shared" si="65"/>
        <v>0.35</v>
      </c>
      <c r="T152" s="373">
        <f>+S152+M152</f>
        <v>0.35</v>
      </c>
      <c r="U152" s="410"/>
      <c r="V152" s="361">
        <f>+S152/H152</f>
        <v>0.87499999999999989</v>
      </c>
      <c r="W152" s="361"/>
      <c r="X152" s="361">
        <f>+V152*E152</f>
        <v>0.17499999999999999</v>
      </c>
      <c r="Y152" s="361"/>
      <c r="Z152" s="361">
        <f>+T152/F152</f>
        <v>0.35</v>
      </c>
      <c r="AA152" s="361"/>
      <c r="AB152" s="361">
        <f>+Z152*E152</f>
        <v>6.9999999999999993E-2</v>
      </c>
      <c r="AC152" s="648" t="s">
        <v>1850</v>
      </c>
      <c r="AD152" s="645" t="s">
        <v>1893</v>
      </c>
      <c r="AE152" s="645" t="s">
        <v>2272</v>
      </c>
      <c r="AF152" s="1087" t="s">
        <v>2297</v>
      </c>
      <c r="AG152" s="1087" t="s">
        <v>2412</v>
      </c>
      <c r="AH152" s="1087" t="s">
        <v>2412</v>
      </c>
      <c r="AI152" s="677" t="s">
        <v>2564</v>
      </c>
    </row>
    <row r="153" spans="1:35" ht="122.4" customHeight="1" thickBot="1" x14ac:dyDescent="0.45">
      <c r="A153" s="344"/>
      <c r="B153" s="1236" t="s">
        <v>600</v>
      </c>
      <c r="C153" s="1237" t="s">
        <v>601</v>
      </c>
      <c r="D153" s="547" t="s">
        <v>565</v>
      </c>
      <c r="E153" s="352">
        <v>0.2</v>
      </c>
      <c r="F153" s="353">
        <v>1</v>
      </c>
      <c r="G153" s="372">
        <v>0</v>
      </c>
      <c r="H153" s="373">
        <v>1</v>
      </c>
      <c r="I153" s="362"/>
      <c r="J153" s="362">
        <f t="shared" si="55"/>
        <v>1</v>
      </c>
      <c r="K153" s="363"/>
      <c r="L153" s="411">
        <f t="shared" si="57"/>
        <v>0.2</v>
      </c>
      <c r="M153" s="373"/>
      <c r="N153" s="587">
        <v>0.15</v>
      </c>
      <c r="O153" s="587">
        <v>0.05</v>
      </c>
      <c r="P153" s="587">
        <v>0.2</v>
      </c>
      <c r="Q153" s="587">
        <v>0.05</v>
      </c>
      <c r="R153" s="587">
        <v>0</v>
      </c>
      <c r="S153" s="373">
        <f t="shared" si="65"/>
        <v>0.45</v>
      </c>
      <c r="T153" s="373">
        <f>+S153+M153</f>
        <v>0.45</v>
      </c>
      <c r="U153" s="410"/>
      <c r="V153" s="361">
        <f>+S153/H153</f>
        <v>0.45</v>
      </c>
      <c r="W153" s="361"/>
      <c r="X153" s="361">
        <f>+V153*E153</f>
        <v>9.0000000000000011E-2</v>
      </c>
      <c r="Y153" s="361"/>
      <c r="Z153" s="361">
        <f>+T153/F153</f>
        <v>0.45</v>
      </c>
      <c r="AA153" s="361"/>
      <c r="AB153" s="361">
        <f>+Z153*E153</f>
        <v>9.0000000000000011E-2</v>
      </c>
      <c r="AC153" s="648" t="s">
        <v>1850</v>
      </c>
      <c r="AD153" s="645" t="s">
        <v>1893</v>
      </c>
      <c r="AE153" s="645" t="s">
        <v>2272</v>
      </c>
      <c r="AF153" s="1087" t="s">
        <v>2297</v>
      </c>
      <c r="AG153" s="1087" t="s">
        <v>2412</v>
      </c>
      <c r="AH153" s="1087" t="s">
        <v>2412</v>
      </c>
      <c r="AI153" s="677" t="s">
        <v>2564</v>
      </c>
    </row>
    <row r="154" spans="1:35" ht="122.4" customHeight="1" thickBot="1" x14ac:dyDescent="0.55000000000000004">
      <c r="A154" s="344"/>
      <c r="B154" s="1311" t="s">
        <v>1669</v>
      </c>
      <c r="C154" s="1312"/>
      <c r="D154" s="695"/>
      <c r="E154" s="349">
        <v>0.3</v>
      </c>
      <c r="F154" s="353"/>
      <c r="G154" s="372"/>
      <c r="H154" s="373"/>
      <c r="I154" s="369">
        <f>+AVERAGE(I155:I159)</f>
        <v>0.4375</v>
      </c>
      <c r="J154" s="369">
        <f>+AVERAGE(J155:J159)</f>
        <v>0.34500000000000003</v>
      </c>
      <c r="K154" s="370">
        <f>+K155+K156+K157+K158+K159</f>
        <v>0.57500000000000007</v>
      </c>
      <c r="L154" s="370">
        <f>+L155+L156+L157+L158+L159</f>
        <v>0.28500000000000003</v>
      </c>
      <c r="M154" s="373"/>
      <c r="N154" s="407"/>
      <c r="O154" s="407"/>
      <c r="P154" s="407"/>
      <c r="Q154" s="407"/>
      <c r="R154" s="407"/>
      <c r="S154" s="407"/>
      <c r="T154" s="407"/>
      <c r="U154" s="582">
        <f>+AVERAGE(U155:U159)</f>
        <v>0.52500000000000002</v>
      </c>
      <c r="V154" s="392">
        <f>+AVERAGE(V155:V159)</f>
        <v>0.92033684210526323</v>
      </c>
      <c r="W154" s="392">
        <f>+(W155+W156+W157+W158+W159)*E154</f>
        <v>0.16800000000000001</v>
      </c>
      <c r="X154" s="392">
        <f>+(X155+X156+X157+X158+X159)*E154</f>
        <v>0.28955052631578948</v>
      </c>
      <c r="Y154" s="351">
        <f>+AVERAGE(Y155:Y159)</f>
        <v>0.19375000000000001</v>
      </c>
      <c r="Z154" s="351">
        <f>+AVERAGE(Z155:Z159)</f>
        <v>0.51166</v>
      </c>
      <c r="AA154" s="351">
        <f>+(AA155+AA156+AA157+AA158+AA159)*E154</f>
        <v>7.5749999999999998E-2</v>
      </c>
      <c r="AB154" s="351">
        <f>+(AB155+AB156+AB157+AB158+AB159)</f>
        <v>0.63333000000000006</v>
      </c>
      <c r="AC154" s="764"/>
      <c r="AD154" s="350"/>
      <c r="AE154" s="350"/>
      <c r="AF154" s="350"/>
      <c r="AG154" s="350"/>
      <c r="AH154" s="1088"/>
      <c r="AI154" s="1085"/>
    </row>
    <row r="155" spans="1:35" ht="176.4" customHeight="1" thickBot="1" x14ac:dyDescent="0.45">
      <c r="A155" s="344"/>
      <c r="B155" s="1229" t="s">
        <v>602</v>
      </c>
      <c r="C155" s="1230" t="s">
        <v>603</v>
      </c>
      <c r="D155" s="547" t="s">
        <v>565</v>
      </c>
      <c r="E155" s="352">
        <v>0.45</v>
      </c>
      <c r="F155" s="353">
        <v>16</v>
      </c>
      <c r="G155" s="372">
        <v>16</v>
      </c>
      <c r="H155" s="373">
        <v>4</v>
      </c>
      <c r="I155" s="362">
        <f>+G155/F155</f>
        <v>1</v>
      </c>
      <c r="J155" s="362">
        <f t="shared" si="55"/>
        <v>0.25</v>
      </c>
      <c r="K155" s="363">
        <f>+(G155/F155)*E155</f>
        <v>0.45</v>
      </c>
      <c r="L155" s="411">
        <f t="shared" si="57"/>
        <v>0.1125</v>
      </c>
      <c r="M155" s="373">
        <v>8</v>
      </c>
      <c r="N155" s="587">
        <v>2</v>
      </c>
      <c r="O155" s="587">
        <v>2</v>
      </c>
      <c r="P155" s="587"/>
      <c r="Q155" s="587">
        <v>45</v>
      </c>
      <c r="R155" s="587">
        <v>1</v>
      </c>
      <c r="S155" s="373">
        <f>+N155+O155+P155+Q155+R155</f>
        <v>50</v>
      </c>
      <c r="T155" s="373">
        <f>+S155+M155</f>
        <v>58</v>
      </c>
      <c r="U155" s="410">
        <v>1</v>
      </c>
      <c r="V155" s="361">
        <v>1</v>
      </c>
      <c r="W155" s="361">
        <f>+U155*E155</f>
        <v>0.45</v>
      </c>
      <c r="X155" s="361">
        <f>+V155*E155</f>
        <v>0.45</v>
      </c>
      <c r="Y155" s="361">
        <f>+M155/F155</f>
        <v>0.5</v>
      </c>
      <c r="Z155" s="361">
        <v>1</v>
      </c>
      <c r="AA155" s="361">
        <f>+Y155*E155</f>
        <v>0.22500000000000001</v>
      </c>
      <c r="AB155" s="361">
        <f>+Z155*E155</f>
        <v>0.45</v>
      </c>
      <c r="AC155" s="648" t="s">
        <v>1850</v>
      </c>
      <c r="AD155" s="677" t="s">
        <v>1902</v>
      </c>
      <c r="AE155" s="645" t="s">
        <v>2272</v>
      </c>
      <c r="AF155" s="1087" t="s">
        <v>2297</v>
      </c>
      <c r="AG155" s="1092" t="s">
        <v>2421</v>
      </c>
      <c r="AH155" s="1174" t="s">
        <v>2473</v>
      </c>
      <c r="AI155" s="677" t="s">
        <v>2564</v>
      </c>
    </row>
    <row r="156" spans="1:35" ht="122.4" customHeight="1" thickBot="1" x14ac:dyDescent="0.45">
      <c r="A156" s="344"/>
      <c r="B156" s="1229" t="s">
        <v>604</v>
      </c>
      <c r="C156" s="1230" t="s">
        <v>605</v>
      </c>
      <c r="D156" s="702" t="s">
        <v>565</v>
      </c>
      <c r="E156" s="352">
        <v>0.3</v>
      </c>
      <c r="F156" s="353">
        <v>4</v>
      </c>
      <c r="G156" s="372">
        <v>1</v>
      </c>
      <c r="H156" s="373">
        <v>1</v>
      </c>
      <c r="I156" s="362">
        <f>+G156/F156</f>
        <v>0.25</v>
      </c>
      <c r="J156" s="362">
        <f t="shared" si="55"/>
        <v>0.25</v>
      </c>
      <c r="K156" s="363">
        <f>+(G156/F156)*E156</f>
        <v>7.4999999999999997E-2</v>
      </c>
      <c r="L156" s="411">
        <f t="shared" si="57"/>
        <v>7.4999999999999997E-2</v>
      </c>
      <c r="M156" s="373">
        <v>0</v>
      </c>
      <c r="N156" s="587">
        <v>1</v>
      </c>
      <c r="O156" s="587">
        <v>0</v>
      </c>
      <c r="P156" s="587">
        <v>0</v>
      </c>
      <c r="Q156" s="587">
        <v>0</v>
      </c>
      <c r="R156" s="587">
        <v>0</v>
      </c>
      <c r="S156" s="373">
        <f t="shared" ref="S156:S159" si="66">+N156+O156+P156+Q156+R156</f>
        <v>1</v>
      </c>
      <c r="T156" s="373">
        <f>+S156+M156</f>
        <v>1</v>
      </c>
      <c r="U156" s="410">
        <f>+(M156/G156)</f>
        <v>0</v>
      </c>
      <c r="V156" s="361">
        <f>+S156/H156</f>
        <v>1</v>
      </c>
      <c r="W156" s="361">
        <f>+U156*E156</f>
        <v>0</v>
      </c>
      <c r="X156" s="361">
        <f>+V156*E156</f>
        <v>0.3</v>
      </c>
      <c r="Y156" s="361">
        <f>+M156/F156</f>
        <v>0</v>
      </c>
      <c r="Z156" s="361">
        <f>+T156/F156</f>
        <v>0.25</v>
      </c>
      <c r="AA156" s="361">
        <f>+Y156*E156</f>
        <v>0</v>
      </c>
      <c r="AB156" s="361">
        <f>+Z156*E156</f>
        <v>7.4999999999999997E-2</v>
      </c>
      <c r="AC156" s="648" t="s">
        <v>1850</v>
      </c>
      <c r="AD156" s="677" t="s">
        <v>1902</v>
      </c>
      <c r="AE156" s="645" t="s">
        <v>2272</v>
      </c>
      <c r="AF156" s="1087" t="s">
        <v>2297</v>
      </c>
      <c r="AG156" s="1087" t="s">
        <v>2412</v>
      </c>
      <c r="AH156" s="1087" t="s">
        <v>2412</v>
      </c>
      <c r="AI156" s="677" t="s">
        <v>2564</v>
      </c>
    </row>
    <row r="157" spans="1:35" ht="122.4" customHeight="1" thickBot="1" x14ac:dyDescent="0.45">
      <c r="A157" s="344"/>
      <c r="B157" s="1206" t="s">
        <v>606</v>
      </c>
      <c r="C157" s="1228" t="s">
        <v>607</v>
      </c>
      <c r="D157" s="702" t="s">
        <v>565</v>
      </c>
      <c r="E157" s="352">
        <v>0.1</v>
      </c>
      <c r="F157" s="353">
        <v>1</v>
      </c>
      <c r="G157" s="372">
        <v>0.25</v>
      </c>
      <c r="H157" s="373">
        <v>0.47499999999999998</v>
      </c>
      <c r="I157" s="362">
        <f>+G157/F157</f>
        <v>0.25</v>
      </c>
      <c r="J157" s="362">
        <f t="shared" si="55"/>
        <v>0.47499999999999998</v>
      </c>
      <c r="K157" s="363">
        <f>+(G157/F157)*E157</f>
        <v>2.5000000000000001E-2</v>
      </c>
      <c r="L157" s="411">
        <f t="shared" si="57"/>
        <v>4.7500000000000001E-2</v>
      </c>
      <c r="M157" s="373">
        <v>2.5000000000000001E-2</v>
      </c>
      <c r="N157" s="587">
        <v>0</v>
      </c>
      <c r="O157" s="587">
        <v>0.05</v>
      </c>
      <c r="P157" s="587"/>
      <c r="Q157" s="1033">
        <v>4.24E-2</v>
      </c>
      <c r="R157" s="587">
        <v>0.2409</v>
      </c>
      <c r="S157" s="1238">
        <f t="shared" si="66"/>
        <v>0.33330000000000004</v>
      </c>
      <c r="T157" s="1238">
        <f>+S157+M157</f>
        <v>0.35830000000000006</v>
      </c>
      <c r="U157" s="410">
        <f>+(M157/G157)</f>
        <v>0.1</v>
      </c>
      <c r="V157" s="361">
        <f>+S157/H157</f>
        <v>0.70168421052631591</v>
      </c>
      <c r="W157" s="361">
        <f>+U157*E157</f>
        <v>1.0000000000000002E-2</v>
      </c>
      <c r="X157" s="361">
        <f>+V157*E157</f>
        <v>7.0168421052631588E-2</v>
      </c>
      <c r="Y157" s="361">
        <f>+M157/F157</f>
        <v>2.5000000000000001E-2</v>
      </c>
      <c r="Z157" s="361">
        <f>+T157/F157</f>
        <v>0.35830000000000006</v>
      </c>
      <c r="AA157" s="361">
        <f>+Y157*E157</f>
        <v>2.5000000000000005E-3</v>
      </c>
      <c r="AB157" s="361">
        <f>+Z157*E157</f>
        <v>3.5830000000000008E-2</v>
      </c>
      <c r="AC157" s="648" t="s">
        <v>1850</v>
      </c>
      <c r="AD157" s="677" t="s">
        <v>1902</v>
      </c>
      <c r="AE157" s="645" t="s">
        <v>2272</v>
      </c>
      <c r="AF157" s="1087" t="s">
        <v>2297</v>
      </c>
      <c r="AG157" s="1087" t="s">
        <v>2412</v>
      </c>
      <c r="AH157" s="1087" t="s">
        <v>2412</v>
      </c>
      <c r="AI157" s="677" t="s">
        <v>2564</v>
      </c>
    </row>
    <row r="158" spans="1:35" ht="170.4" customHeight="1" thickBot="1" x14ac:dyDescent="0.45">
      <c r="A158" s="344"/>
      <c r="B158" s="1206" t="s">
        <v>608</v>
      </c>
      <c r="C158" s="1195" t="s">
        <v>609</v>
      </c>
      <c r="D158" s="702" t="s">
        <v>565</v>
      </c>
      <c r="E158" s="352">
        <v>0.1</v>
      </c>
      <c r="F158" s="353">
        <v>4</v>
      </c>
      <c r="G158" s="372">
        <v>1</v>
      </c>
      <c r="H158" s="373">
        <v>1</v>
      </c>
      <c r="I158" s="362">
        <f>+G158/F158</f>
        <v>0.25</v>
      </c>
      <c r="J158" s="362">
        <f t="shared" si="55"/>
        <v>0.25</v>
      </c>
      <c r="K158" s="363">
        <f>+(G158/F158)*E158</f>
        <v>2.5000000000000001E-2</v>
      </c>
      <c r="L158" s="411">
        <f t="shared" si="57"/>
        <v>2.5000000000000001E-2</v>
      </c>
      <c r="M158" s="1035">
        <v>1</v>
      </c>
      <c r="N158" s="587">
        <v>0</v>
      </c>
      <c r="O158" s="587">
        <v>0</v>
      </c>
      <c r="P158" s="587">
        <v>0.5</v>
      </c>
      <c r="Q158" s="587">
        <v>0.5</v>
      </c>
      <c r="R158" s="587">
        <v>0</v>
      </c>
      <c r="S158" s="373">
        <f t="shared" si="66"/>
        <v>1</v>
      </c>
      <c r="T158" s="373">
        <f>+S158+M158</f>
        <v>2</v>
      </c>
      <c r="U158" s="410">
        <f>+(M158/G158)</f>
        <v>1</v>
      </c>
      <c r="V158" s="361">
        <f>+S158/H158</f>
        <v>1</v>
      </c>
      <c r="W158" s="361">
        <f>+U158*E158</f>
        <v>0.1</v>
      </c>
      <c r="X158" s="361">
        <f>+V158*E158</f>
        <v>0.1</v>
      </c>
      <c r="Y158" s="361">
        <f>+M158/F158</f>
        <v>0.25</v>
      </c>
      <c r="Z158" s="361">
        <f>+T158/F158</f>
        <v>0.5</v>
      </c>
      <c r="AA158" s="361">
        <f>+Y158*E158</f>
        <v>2.5000000000000001E-2</v>
      </c>
      <c r="AB158" s="361">
        <f>+Z158*E158</f>
        <v>0.05</v>
      </c>
      <c r="AC158" s="648" t="s">
        <v>1850</v>
      </c>
      <c r="AD158" s="677" t="s">
        <v>1902</v>
      </c>
      <c r="AE158" s="645" t="s">
        <v>2272</v>
      </c>
      <c r="AF158" s="1087" t="s">
        <v>2297</v>
      </c>
      <c r="AG158" s="1087" t="s">
        <v>2412</v>
      </c>
      <c r="AH158" s="1087" t="s">
        <v>2412</v>
      </c>
      <c r="AI158" s="677" t="s">
        <v>2564</v>
      </c>
    </row>
    <row r="159" spans="1:35" ht="122.4" customHeight="1" thickBot="1" x14ac:dyDescent="0.45">
      <c r="A159" s="344"/>
      <c r="B159" s="1206" t="s">
        <v>610</v>
      </c>
      <c r="C159" s="1195" t="s">
        <v>611</v>
      </c>
      <c r="D159" s="702" t="s">
        <v>565</v>
      </c>
      <c r="E159" s="352">
        <v>0.05</v>
      </c>
      <c r="F159" s="353">
        <v>1</v>
      </c>
      <c r="G159" s="372">
        <v>0</v>
      </c>
      <c r="H159" s="373">
        <v>0.5</v>
      </c>
      <c r="I159" s="362"/>
      <c r="J159" s="362">
        <f t="shared" si="55"/>
        <v>0.5</v>
      </c>
      <c r="K159" s="363"/>
      <c r="L159" s="411">
        <f t="shared" si="57"/>
        <v>2.5000000000000001E-2</v>
      </c>
      <c r="M159" s="373"/>
      <c r="N159" s="587">
        <v>0</v>
      </c>
      <c r="O159" s="587">
        <v>0.05</v>
      </c>
      <c r="P159" s="587">
        <v>0.15</v>
      </c>
      <c r="Q159" s="587">
        <v>0.25</v>
      </c>
      <c r="R159" s="587">
        <v>0</v>
      </c>
      <c r="S159" s="373">
        <f t="shared" si="66"/>
        <v>0.45</v>
      </c>
      <c r="T159" s="373">
        <f>+S159+M159</f>
        <v>0.45</v>
      </c>
      <c r="U159" s="410"/>
      <c r="V159" s="361">
        <f>+S159/H159</f>
        <v>0.9</v>
      </c>
      <c r="W159" s="361"/>
      <c r="X159" s="361">
        <f>+V159*E159</f>
        <v>4.5000000000000005E-2</v>
      </c>
      <c r="Y159" s="361"/>
      <c r="Z159" s="361">
        <f>+T159/F159</f>
        <v>0.45</v>
      </c>
      <c r="AA159" s="361"/>
      <c r="AB159" s="361">
        <f>+Z159*E159</f>
        <v>2.2500000000000003E-2</v>
      </c>
      <c r="AC159" s="648" t="s">
        <v>1850</v>
      </c>
      <c r="AD159" s="719" t="s">
        <v>1920</v>
      </c>
      <c r="AE159" s="350"/>
      <c r="AF159" s="1087" t="s">
        <v>2297</v>
      </c>
      <c r="AG159" s="1087" t="s">
        <v>2412</v>
      </c>
      <c r="AH159" s="1087" t="s">
        <v>2412</v>
      </c>
      <c r="AI159" s="677" t="s">
        <v>2564</v>
      </c>
    </row>
    <row r="160" spans="1:35" ht="88.8" customHeight="1" thickBot="1" x14ac:dyDescent="0.55000000000000004">
      <c r="A160" s="344"/>
      <c r="B160" s="1308" t="s">
        <v>1670</v>
      </c>
      <c r="C160" s="1310"/>
      <c r="D160" s="394"/>
      <c r="E160" s="349">
        <v>0.15</v>
      </c>
      <c r="F160" s="353"/>
      <c r="G160" s="372"/>
      <c r="H160" s="373"/>
      <c r="I160" s="369"/>
      <c r="J160" s="369">
        <f>+AVERAGE(J161:J163)</f>
        <v>0.66640624999999998</v>
      </c>
      <c r="K160" s="370"/>
      <c r="L160" s="406">
        <f>+L161+L162+L163</f>
        <v>0.36648437499999997</v>
      </c>
      <c r="M160" s="373"/>
      <c r="N160" s="407"/>
      <c r="O160" s="407"/>
      <c r="P160" s="407"/>
      <c r="Q160" s="407"/>
      <c r="R160" s="407"/>
      <c r="S160" s="407"/>
      <c r="T160" s="407"/>
      <c r="U160" s="582"/>
      <c r="V160" s="392">
        <f>+AVERAGE(V161:V163)</f>
        <v>0</v>
      </c>
      <c r="W160" s="392"/>
      <c r="X160" s="392">
        <f>+(X161+X162+X163)*E160</f>
        <v>0</v>
      </c>
      <c r="Y160" s="351"/>
      <c r="Z160" s="763">
        <f>+AVERAGE(Z161:Z163)</f>
        <v>0</v>
      </c>
      <c r="AA160" s="351">
        <f>+(AA161+AA162+AA163)*E160</f>
        <v>0</v>
      </c>
      <c r="AB160" s="351">
        <f>+(AB161+AB162+AB163)</f>
        <v>0</v>
      </c>
      <c r="AC160" s="764"/>
      <c r="AD160" s="1093" t="s">
        <v>1969</v>
      </c>
      <c r="AE160" s="350"/>
      <c r="AF160" s="350"/>
      <c r="AG160" s="350"/>
      <c r="AH160" s="1088"/>
      <c r="AI160" s="1085"/>
    </row>
    <row r="161" spans="1:35" ht="122.4" customHeight="1" thickBot="1" x14ac:dyDescent="0.45">
      <c r="A161" s="344"/>
      <c r="B161" s="1206" t="s">
        <v>612</v>
      </c>
      <c r="C161" s="1195" t="s">
        <v>613</v>
      </c>
      <c r="D161" s="704" t="s">
        <v>1549</v>
      </c>
      <c r="E161" s="352">
        <v>0.35</v>
      </c>
      <c r="F161" s="353">
        <v>640</v>
      </c>
      <c r="G161" s="372">
        <v>0</v>
      </c>
      <c r="H161" s="373">
        <v>213</v>
      </c>
      <c r="I161" s="362"/>
      <c r="J161" s="362">
        <f t="shared" si="55"/>
        <v>0.33281250000000001</v>
      </c>
      <c r="K161" s="363"/>
      <c r="L161" s="411">
        <f t="shared" si="57"/>
        <v>0.116484375</v>
      </c>
      <c r="M161" s="373"/>
      <c r="N161" s="587">
        <v>0</v>
      </c>
      <c r="O161" s="587">
        <v>0</v>
      </c>
      <c r="P161" s="587">
        <v>0</v>
      </c>
      <c r="Q161" s="587">
        <v>0</v>
      </c>
      <c r="R161" s="587">
        <v>0</v>
      </c>
      <c r="S161" s="373">
        <f>+N161+O161+P161+Q161+R161</f>
        <v>0</v>
      </c>
      <c r="T161" s="373">
        <f>+S161+M161</f>
        <v>0</v>
      </c>
      <c r="U161" s="410"/>
      <c r="V161" s="361">
        <f>+S161/H161</f>
        <v>0</v>
      </c>
      <c r="W161" s="361"/>
      <c r="X161" s="361">
        <f>+V161*E161</f>
        <v>0</v>
      </c>
      <c r="Y161" s="361"/>
      <c r="Z161" s="361">
        <f>+T161/F161</f>
        <v>0</v>
      </c>
      <c r="AA161" s="361"/>
      <c r="AB161" s="361">
        <f>+Z161*E161</f>
        <v>0</v>
      </c>
      <c r="AC161" s="648" t="s">
        <v>1850</v>
      </c>
      <c r="AD161" s="719" t="s">
        <v>1920</v>
      </c>
      <c r="AE161" s="645" t="s">
        <v>2272</v>
      </c>
      <c r="AF161" s="1087" t="s">
        <v>2297</v>
      </c>
      <c r="AG161" s="677" t="s">
        <v>2412</v>
      </c>
      <c r="AH161" s="677" t="s">
        <v>2447</v>
      </c>
      <c r="AI161" s="677" t="s">
        <v>2564</v>
      </c>
    </row>
    <row r="162" spans="1:35" ht="122.4" customHeight="1" thickBot="1" x14ac:dyDescent="0.45">
      <c r="A162" s="344"/>
      <c r="B162" s="1206" t="s">
        <v>614</v>
      </c>
      <c r="C162" s="1195" t="s">
        <v>615</v>
      </c>
      <c r="D162" s="704" t="s">
        <v>1549</v>
      </c>
      <c r="E162" s="352">
        <v>0.4</v>
      </c>
      <c r="F162" s="353">
        <v>2</v>
      </c>
      <c r="G162" s="372">
        <v>0</v>
      </c>
      <c r="H162" s="373">
        <v>0</v>
      </c>
      <c r="I162" s="362"/>
      <c r="J162" s="362"/>
      <c r="K162" s="363"/>
      <c r="L162" s="411"/>
      <c r="M162" s="373"/>
      <c r="N162" s="587"/>
      <c r="O162" s="587"/>
      <c r="P162" s="587"/>
      <c r="Q162" s="587"/>
      <c r="R162" s="587"/>
      <c r="S162" s="373">
        <f t="shared" ref="S162:S163" si="67">+N162+O162+P162+Q162+R162</f>
        <v>0</v>
      </c>
      <c r="T162" s="373">
        <f>+S162+M162</f>
        <v>0</v>
      </c>
      <c r="U162" s="410"/>
      <c r="V162" s="361"/>
      <c r="W162" s="361"/>
      <c r="X162" s="361"/>
      <c r="Y162" s="361"/>
      <c r="Z162" s="361"/>
      <c r="AA162" s="361"/>
      <c r="AB162" s="361">
        <f>+Z162*E162</f>
        <v>0</v>
      </c>
      <c r="AC162" s="648" t="s">
        <v>1850</v>
      </c>
      <c r="AD162" s="642" t="s">
        <v>1893</v>
      </c>
      <c r="AE162" s="645" t="s">
        <v>2272</v>
      </c>
      <c r="AF162" s="1087" t="s">
        <v>2297</v>
      </c>
      <c r="AG162" s="677" t="s">
        <v>2412</v>
      </c>
      <c r="AH162" s="677" t="s">
        <v>2447</v>
      </c>
      <c r="AI162" s="677" t="s">
        <v>2564</v>
      </c>
    </row>
    <row r="163" spans="1:35" ht="122.4" customHeight="1" thickBot="1" x14ac:dyDescent="0.45">
      <c r="A163" s="344"/>
      <c r="B163" s="1263" t="s">
        <v>616</v>
      </c>
      <c r="C163" s="1199" t="s">
        <v>617</v>
      </c>
      <c r="D163" s="704" t="s">
        <v>1549</v>
      </c>
      <c r="E163" s="352">
        <v>0.25</v>
      </c>
      <c r="F163" s="353">
        <v>1</v>
      </c>
      <c r="G163" s="372">
        <v>0</v>
      </c>
      <c r="H163" s="373">
        <v>1</v>
      </c>
      <c r="I163" s="362"/>
      <c r="J163" s="362">
        <f t="shared" si="55"/>
        <v>1</v>
      </c>
      <c r="K163" s="363"/>
      <c r="L163" s="411">
        <f t="shared" si="57"/>
        <v>0.25</v>
      </c>
      <c r="M163" s="373"/>
      <c r="N163" s="587">
        <v>0</v>
      </c>
      <c r="O163" s="587">
        <v>0</v>
      </c>
      <c r="P163" s="587">
        <v>0</v>
      </c>
      <c r="Q163" s="587">
        <v>0</v>
      </c>
      <c r="R163" s="587">
        <v>0</v>
      </c>
      <c r="S163" s="373">
        <f t="shared" si="67"/>
        <v>0</v>
      </c>
      <c r="T163" s="373">
        <f>+S163+M163</f>
        <v>0</v>
      </c>
      <c r="U163" s="410"/>
      <c r="V163" s="361">
        <f>+S163/H163</f>
        <v>0</v>
      </c>
      <c r="W163" s="361"/>
      <c r="X163" s="361">
        <f>+V163*E163</f>
        <v>0</v>
      </c>
      <c r="Y163" s="361"/>
      <c r="Z163" s="361">
        <f>+T163/F163</f>
        <v>0</v>
      </c>
      <c r="AA163" s="361"/>
      <c r="AB163" s="361">
        <f>+Z163*E163</f>
        <v>0</v>
      </c>
      <c r="AC163" s="648" t="s">
        <v>1850</v>
      </c>
      <c r="AD163" s="719" t="s">
        <v>1920</v>
      </c>
      <c r="AE163" s="645" t="s">
        <v>2272</v>
      </c>
      <c r="AF163" s="1092" t="s">
        <v>2318</v>
      </c>
      <c r="AG163" s="677" t="s">
        <v>2412</v>
      </c>
      <c r="AH163" s="677" t="s">
        <v>2447</v>
      </c>
      <c r="AI163" s="677" t="s">
        <v>2564</v>
      </c>
    </row>
    <row r="164" spans="1:35" ht="94.2" customHeight="1" thickBot="1" x14ac:dyDescent="0.55000000000000004">
      <c r="A164" s="344"/>
      <c r="B164" s="1316" t="s">
        <v>1671</v>
      </c>
      <c r="C164" s="1315"/>
      <c r="D164" s="688"/>
      <c r="E164" s="386">
        <v>0.2</v>
      </c>
      <c r="F164" s="387">
        <f>+E164*W164</f>
        <v>0.1569418604651163</v>
      </c>
      <c r="G164" s="368"/>
      <c r="H164" s="346">
        <f>+E164*X164</f>
        <v>0.15263425799862629</v>
      </c>
      <c r="I164" s="414">
        <f>+(I165+I170+I173+I176+I182+I184+I187)/7</f>
        <v>0.23893651055292212</v>
      </c>
      <c r="J164" s="414">
        <f>+(J165+J170+J173+J176+J182+J184+J187)/7</f>
        <v>0.28593294105804123</v>
      </c>
      <c r="K164" s="415">
        <f>+(K165+K170+K173+K176+K182+K184+K187)/7</f>
        <v>0.22368966475650506</v>
      </c>
      <c r="L164" s="415">
        <f>+(L165+L170+L173+L176+L182+L184+L187)/7</f>
        <v>0.2870384761939736</v>
      </c>
      <c r="M164" s="574"/>
      <c r="N164" s="350"/>
      <c r="O164" s="350"/>
      <c r="P164" s="350"/>
      <c r="Q164" s="350"/>
      <c r="R164" s="350"/>
      <c r="S164" s="350"/>
      <c r="T164" s="350"/>
      <c r="U164" s="404">
        <f>+(U165+U170+U173+U176+U182+U184+U187)/7</f>
        <v>0.91621262458471764</v>
      </c>
      <c r="V164" s="348">
        <f>+(V165+V170+V173+V176+V182+V184+V187)/7</f>
        <v>0.93306223549163236</v>
      </c>
      <c r="W164" s="399">
        <f>W165+W170+W173+W176+W182+W184+W187</f>
        <v>0.78470930232558145</v>
      </c>
      <c r="X164" s="399">
        <f>X165+X170+X173+X176+X182+X184+X187</f>
        <v>0.76317128999313144</v>
      </c>
      <c r="Y164" s="348">
        <f>(Y165+Y170+Y173+Y176+Y182+Y184+Y187)/7</f>
        <v>0.26532184592777297</v>
      </c>
      <c r="Z164" s="348">
        <f>(Z165+Z170+Z173+Z176+Z182+Z184+Z187)/7</f>
        <v>0.58130025930285478</v>
      </c>
      <c r="AA164" s="399">
        <f>(AA165+AA170+AA173+AA176+AA182+AA184+AA187)</f>
        <v>0.20257591878811407</v>
      </c>
      <c r="AB164" s="399">
        <f>(AB165*E165)+(AB170*E170)+(AB173*E173)+(AB176*E176)+(AB182*E182)+(AB184*E184)+(AB187*E187)</f>
        <v>0.50415658631572002</v>
      </c>
      <c r="AC164" s="1080"/>
      <c r="AD164" s="350"/>
      <c r="AE164" s="350"/>
      <c r="AF164" s="350"/>
      <c r="AG164" s="350"/>
      <c r="AH164" s="1088"/>
      <c r="AI164" s="1085"/>
    </row>
    <row r="165" spans="1:35" ht="122.4" customHeight="1" thickBot="1" x14ac:dyDescent="0.55000000000000004">
      <c r="A165" s="344"/>
      <c r="B165" s="1317" t="s">
        <v>1672</v>
      </c>
      <c r="C165" s="1318"/>
      <c r="D165" s="548"/>
      <c r="E165" s="349">
        <v>0.35</v>
      </c>
      <c r="F165" s="353"/>
      <c r="G165" s="368"/>
      <c r="H165" s="350"/>
      <c r="I165" s="369">
        <f>+AVERAGE(I166:I169)</f>
        <v>0.3125</v>
      </c>
      <c r="J165" s="369">
        <f>+AVERAGE(J166:J169)</f>
        <v>0.39083333333333331</v>
      </c>
      <c r="K165" s="370">
        <f>+K166+K167+K168+K169</f>
        <v>0.3125</v>
      </c>
      <c r="L165" s="370">
        <f>+L166+L167+L168+L169</f>
        <v>0.39083333333333331</v>
      </c>
      <c r="M165" s="373"/>
      <c r="N165" s="407"/>
      <c r="O165" s="407"/>
      <c r="P165" s="407"/>
      <c r="Q165" s="407"/>
      <c r="R165" s="407"/>
      <c r="S165" s="407"/>
      <c r="T165" s="407"/>
      <c r="U165" s="582">
        <f>+AVERAGE(U166:U169)</f>
        <v>0.51</v>
      </c>
      <c r="V165" s="392">
        <f>+AVERAGE(V166:V169)</f>
        <v>0.63698630136986301</v>
      </c>
      <c r="W165" s="392">
        <f>+(W166+W167+W168+W169)*E165</f>
        <v>0.17849999999999999</v>
      </c>
      <c r="X165" s="392">
        <f>+(X166+X167+X168+X169)*E165</f>
        <v>0.22294520547945204</v>
      </c>
      <c r="Y165" s="351">
        <f>+AVERAGE(Y166:Y169)</f>
        <v>0.17541666666666667</v>
      </c>
      <c r="Z165" s="351">
        <f>+AVERAGE(Z166:Z169)</f>
        <v>0.41416666666666668</v>
      </c>
      <c r="AA165" s="351">
        <f>+(AA166+AA167+AA168+AA169)*E165</f>
        <v>6.139583333333333E-2</v>
      </c>
      <c r="AB165" s="351">
        <f>+(AB166+AB167+AB168+AB169)</f>
        <v>0.41416666666666668</v>
      </c>
      <c r="AC165" s="764"/>
      <c r="AD165" s="350"/>
      <c r="AE165" s="350"/>
      <c r="AF165" s="350"/>
      <c r="AG165" s="350"/>
      <c r="AH165" s="1088"/>
      <c r="AI165" s="1085"/>
    </row>
    <row r="166" spans="1:35" ht="122.4" customHeight="1" thickBot="1" x14ac:dyDescent="0.45">
      <c r="A166" s="344"/>
      <c r="B166" s="1234" t="s">
        <v>618</v>
      </c>
      <c r="C166" s="1235" t="s">
        <v>619</v>
      </c>
      <c r="D166" s="707" t="s">
        <v>620</v>
      </c>
      <c r="E166" s="352">
        <v>0.25</v>
      </c>
      <c r="F166" s="353">
        <v>12</v>
      </c>
      <c r="G166" s="372">
        <v>3</v>
      </c>
      <c r="H166" s="373">
        <v>4</v>
      </c>
      <c r="I166" s="362">
        <f>+G166/F166</f>
        <v>0.25</v>
      </c>
      <c r="J166" s="362">
        <f t="shared" ref="J166:J174" si="68">+H166/F166</f>
        <v>0.33333333333333331</v>
      </c>
      <c r="K166" s="363">
        <f>+(G166/F166)*E166</f>
        <v>6.25E-2</v>
      </c>
      <c r="L166" s="411">
        <f>+(H166/F166)*E166</f>
        <v>8.3333333333333329E-2</v>
      </c>
      <c r="M166" s="373">
        <v>0</v>
      </c>
      <c r="N166" s="587">
        <v>0</v>
      </c>
      <c r="O166" s="587">
        <v>0</v>
      </c>
      <c r="P166" s="587">
        <v>1</v>
      </c>
      <c r="Q166" s="587">
        <v>0</v>
      </c>
      <c r="R166" s="587">
        <v>0</v>
      </c>
      <c r="S166" s="373">
        <f>+N166+O166+P166+Q166+R166</f>
        <v>1</v>
      </c>
      <c r="T166" s="373">
        <f>+S166+M166</f>
        <v>1</v>
      </c>
      <c r="U166" s="410">
        <f>+(M166/G166)</f>
        <v>0</v>
      </c>
      <c r="V166" s="361">
        <f>+S166/H166</f>
        <v>0.25</v>
      </c>
      <c r="W166" s="361">
        <f>+U166*E166</f>
        <v>0</v>
      </c>
      <c r="X166" s="361">
        <f>+V166*E166</f>
        <v>6.25E-2</v>
      </c>
      <c r="Y166" s="361">
        <f>+M166/F166</f>
        <v>0</v>
      </c>
      <c r="Z166" s="361">
        <f>+T166/F166</f>
        <v>8.3333333333333329E-2</v>
      </c>
      <c r="AA166" s="361">
        <f>+Y166*E166</f>
        <v>0</v>
      </c>
      <c r="AB166" s="361">
        <f>+Z166*E166</f>
        <v>2.0833333333333332E-2</v>
      </c>
      <c r="AC166" s="648" t="s">
        <v>1850</v>
      </c>
      <c r="AD166" s="677" t="s">
        <v>1902</v>
      </c>
      <c r="AE166" s="677" t="s">
        <v>2272</v>
      </c>
      <c r="AF166" s="677" t="s">
        <v>2295</v>
      </c>
      <c r="AG166" s="677" t="s">
        <v>2412</v>
      </c>
      <c r="AH166" s="677" t="s">
        <v>2447</v>
      </c>
      <c r="AI166" s="677" t="s">
        <v>2564</v>
      </c>
    </row>
    <row r="167" spans="1:35" ht="122.4" customHeight="1" thickBot="1" x14ac:dyDescent="0.45">
      <c r="A167" s="344"/>
      <c r="B167" s="1236" t="s">
        <v>621</v>
      </c>
      <c r="C167" s="1237" t="s">
        <v>622</v>
      </c>
      <c r="D167" s="547" t="s">
        <v>620</v>
      </c>
      <c r="E167" s="352">
        <v>0.25</v>
      </c>
      <c r="F167" s="353">
        <v>1</v>
      </c>
      <c r="G167" s="372">
        <v>0.5</v>
      </c>
      <c r="H167" s="373">
        <v>0.73</v>
      </c>
      <c r="I167" s="362">
        <f>+G167/F167</f>
        <v>0.5</v>
      </c>
      <c r="J167" s="362">
        <f t="shared" si="68"/>
        <v>0.73</v>
      </c>
      <c r="K167" s="363">
        <f>+(G167/F167)*E167</f>
        <v>0.125</v>
      </c>
      <c r="L167" s="411">
        <f t="shared" ref="L167:L191" si="69">+(H167/F167)*E167</f>
        <v>0.1825</v>
      </c>
      <c r="M167" s="373">
        <v>0.27</v>
      </c>
      <c r="N167" s="1033">
        <v>0.35</v>
      </c>
      <c r="O167" s="587">
        <v>0.05</v>
      </c>
      <c r="P167" s="587">
        <v>0</v>
      </c>
      <c r="Q167" s="587">
        <v>0</v>
      </c>
      <c r="R167" s="587">
        <v>0</v>
      </c>
      <c r="S167" s="373">
        <f t="shared" ref="S167:S169" si="70">+N167+O167+P167+Q167+R167</f>
        <v>0.39999999999999997</v>
      </c>
      <c r="T167" s="373">
        <f>+S167+M167</f>
        <v>0.66999999999999993</v>
      </c>
      <c r="U167" s="410">
        <f>+(M167/G167)</f>
        <v>0.54</v>
      </c>
      <c r="V167" s="361">
        <f>+S167/H167</f>
        <v>0.54794520547945202</v>
      </c>
      <c r="W167" s="361">
        <f>+U167*E167</f>
        <v>0.13500000000000001</v>
      </c>
      <c r="X167" s="361">
        <f>+V167*E167</f>
        <v>0.13698630136986301</v>
      </c>
      <c r="Y167" s="361">
        <f>+M167/F167</f>
        <v>0.27</v>
      </c>
      <c r="Z167" s="361">
        <f>+T167/F167</f>
        <v>0.66999999999999993</v>
      </c>
      <c r="AA167" s="361">
        <f>+Y167*E167</f>
        <v>6.7500000000000004E-2</v>
      </c>
      <c r="AB167" s="361">
        <f>+Z167*E167</f>
        <v>0.16749999999999998</v>
      </c>
      <c r="AC167" s="648" t="s">
        <v>1850</v>
      </c>
      <c r="AD167" s="677" t="s">
        <v>1902</v>
      </c>
      <c r="AE167" s="677" t="s">
        <v>2272</v>
      </c>
      <c r="AF167" s="677" t="s">
        <v>2295</v>
      </c>
      <c r="AG167" s="677" t="s">
        <v>2412</v>
      </c>
      <c r="AH167" s="677" t="s">
        <v>2447</v>
      </c>
      <c r="AI167" s="677" t="s">
        <v>2564</v>
      </c>
    </row>
    <row r="168" spans="1:35" ht="122.4" customHeight="1" thickBot="1" x14ac:dyDescent="0.45">
      <c r="A168" s="344"/>
      <c r="B168" s="1236" t="s">
        <v>623</v>
      </c>
      <c r="C168" s="1237" t="s">
        <v>624</v>
      </c>
      <c r="D168" s="547" t="s">
        <v>620</v>
      </c>
      <c r="E168" s="352">
        <v>0.25</v>
      </c>
      <c r="F168" s="353">
        <v>16</v>
      </c>
      <c r="G168" s="372">
        <v>4</v>
      </c>
      <c r="H168" s="373">
        <v>4</v>
      </c>
      <c r="I168" s="362">
        <f>+G168/F168</f>
        <v>0.25</v>
      </c>
      <c r="J168" s="362">
        <f t="shared" si="68"/>
        <v>0.25</v>
      </c>
      <c r="K168" s="363">
        <f>+(G168/F168)*E168</f>
        <v>6.25E-2</v>
      </c>
      <c r="L168" s="411">
        <f t="shared" si="69"/>
        <v>6.25E-2</v>
      </c>
      <c r="M168" s="373">
        <v>2</v>
      </c>
      <c r="N168" s="587">
        <v>1</v>
      </c>
      <c r="O168" s="587">
        <v>0</v>
      </c>
      <c r="P168" s="587">
        <v>2</v>
      </c>
      <c r="Q168" s="587">
        <v>0</v>
      </c>
      <c r="R168" s="587">
        <v>0</v>
      </c>
      <c r="S168" s="373">
        <f t="shared" si="70"/>
        <v>3</v>
      </c>
      <c r="T168" s="373">
        <f>+S168+M168</f>
        <v>5</v>
      </c>
      <c r="U168" s="410">
        <f>+(M168/G168)</f>
        <v>0.5</v>
      </c>
      <c r="V168" s="361">
        <f>+S168/H168</f>
        <v>0.75</v>
      </c>
      <c r="W168" s="361">
        <f>+U168*E168</f>
        <v>0.125</v>
      </c>
      <c r="X168" s="361">
        <f>+V168*E168</f>
        <v>0.1875</v>
      </c>
      <c r="Y168" s="361">
        <f>+M168/F168</f>
        <v>0.125</v>
      </c>
      <c r="Z168" s="361">
        <f>+T168/F168</f>
        <v>0.3125</v>
      </c>
      <c r="AA168" s="361">
        <f>+Y168*E168</f>
        <v>3.125E-2</v>
      </c>
      <c r="AB168" s="361">
        <f>+Z168*E168</f>
        <v>7.8125E-2</v>
      </c>
      <c r="AC168" s="648" t="s">
        <v>1850</v>
      </c>
      <c r="AD168" s="677" t="s">
        <v>1902</v>
      </c>
      <c r="AE168" s="677" t="s">
        <v>2272</v>
      </c>
      <c r="AF168" s="677" t="s">
        <v>2295</v>
      </c>
      <c r="AG168" s="677" t="s">
        <v>2412</v>
      </c>
      <c r="AH168" s="677" t="s">
        <v>2447</v>
      </c>
      <c r="AI168" s="677" t="s">
        <v>2564</v>
      </c>
    </row>
    <row r="169" spans="1:35" ht="122.4" customHeight="1" thickBot="1" x14ac:dyDescent="0.45">
      <c r="A169" s="344"/>
      <c r="B169" s="1236" t="s">
        <v>625</v>
      </c>
      <c r="C169" s="1237" t="s">
        <v>626</v>
      </c>
      <c r="D169" s="547" t="s">
        <v>620</v>
      </c>
      <c r="E169" s="352">
        <v>0.25</v>
      </c>
      <c r="F169" s="353">
        <v>1200</v>
      </c>
      <c r="G169" s="372">
        <v>300</v>
      </c>
      <c r="H169" s="373">
        <v>300</v>
      </c>
      <c r="I169" s="362">
        <f>+G169/F169</f>
        <v>0.25</v>
      </c>
      <c r="J169" s="362">
        <f t="shared" si="68"/>
        <v>0.25</v>
      </c>
      <c r="K169" s="363">
        <f>+(G169/F169)*E169</f>
        <v>6.25E-2</v>
      </c>
      <c r="L169" s="411">
        <f t="shared" si="69"/>
        <v>6.25E-2</v>
      </c>
      <c r="M169" s="373">
        <v>368</v>
      </c>
      <c r="N169" s="587">
        <v>83</v>
      </c>
      <c r="O169" s="587">
        <v>117</v>
      </c>
      <c r="P169" s="587">
        <v>42</v>
      </c>
      <c r="Q169" s="587">
        <v>52</v>
      </c>
      <c r="R169" s="587">
        <v>47</v>
      </c>
      <c r="S169" s="373">
        <f t="shared" si="70"/>
        <v>341</v>
      </c>
      <c r="T169" s="373">
        <f>+S169+M169</f>
        <v>709</v>
      </c>
      <c r="U169" s="410">
        <v>1</v>
      </c>
      <c r="V169" s="361">
        <v>1</v>
      </c>
      <c r="W169" s="361">
        <f>+U169*E169</f>
        <v>0.25</v>
      </c>
      <c r="X169" s="361">
        <f>+V169*E169</f>
        <v>0.25</v>
      </c>
      <c r="Y169" s="361">
        <f>+M169/F169</f>
        <v>0.30666666666666664</v>
      </c>
      <c r="Z169" s="361">
        <f>+T169/F169</f>
        <v>0.59083333333333332</v>
      </c>
      <c r="AA169" s="361">
        <f>+Y169*E169</f>
        <v>7.6666666666666661E-2</v>
      </c>
      <c r="AB169" s="361">
        <f>+Z169*E169</f>
        <v>0.14770833333333333</v>
      </c>
      <c r="AC169" s="648" t="s">
        <v>1850</v>
      </c>
      <c r="AD169" s="1091" t="s">
        <v>1957</v>
      </c>
      <c r="AE169" s="677" t="s">
        <v>2272</v>
      </c>
      <c r="AF169" s="677" t="s">
        <v>2295</v>
      </c>
      <c r="AG169" s="677" t="s">
        <v>2412</v>
      </c>
      <c r="AH169" s="677" t="s">
        <v>2447</v>
      </c>
      <c r="AI169" s="677" t="s">
        <v>2564</v>
      </c>
    </row>
    <row r="170" spans="1:35" ht="122.4" customHeight="1" thickBot="1" x14ac:dyDescent="0.55000000000000004">
      <c r="A170" s="344"/>
      <c r="B170" s="1311" t="s">
        <v>1673</v>
      </c>
      <c r="C170" s="1312"/>
      <c r="D170" s="695"/>
      <c r="E170" s="349">
        <v>0.2</v>
      </c>
      <c r="F170" s="353"/>
      <c r="G170" s="372"/>
      <c r="H170" s="373"/>
      <c r="I170" s="369">
        <f>+AVERAGE(I171:I172)</f>
        <v>3.2271422261484099E-2</v>
      </c>
      <c r="J170" s="369">
        <f>+AVERAGE(J171:J172)</f>
        <v>0.31835247349823326</v>
      </c>
      <c r="K170" s="370">
        <f>+K171+K172</f>
        <v>2.6429991166077735E-2</v>
      </c>
      <c r="L170" s="370">
        <f>+L171+L172</f>
        <v>0.32069346289752654</v>
      </c>
      <c r="M170" s="373"/>
      <c r="N170" s="407"/>
      <c r="O170" s="407"/>
      <c r="P170" s="407"/>
      <c r="Q170" s="407"/>
      <c r="R170" s="407"/>
      <c r="S170" s="407"/>
      <c r="T170" s="407"/>
      <c r="U170" s="582">
        <f>+AVERAGE(U171:U173)</f>
        <v>0.95000000000000007</v>
      </c>
      <c r="V170" s="392">
        <f>+AVERAGE(V171:V172)</f>
        <v>1</v>
      </c>
      <c r="W170" s="392">
        <f>+(W171+W172)*E170</f>
        <v>0.17900000000000002</v>
      </c>
      <c r="X170" s="392">
        <f>+(X171+X172)*E170</f>
        <v>0.2</v>
      </c>
      <c r="Y170" s="351">
        <f>+AVERAGE(Y171:Y172)</f>
        <v>3.7196333922261481E-2</v>
      </c>
      <c r="Z170" s="351">
        <f>+AVERAGE(Z171:Z172)</f>
        <v>0.36217424911660778</v>
      </c>
      <c r="AA170" s="351">
        <f>+(AA171+AA172)*E170</f>
        <v>5.6649734982332153E-3</v>
      </c>
      <c r="AB170" s="351">
        <f>+(AB171+AB172)</f>
        <v>0.35829394876325088</v>
      </c>
      <c r="AC170" s="1081"/>
      <c r="AD170" s="350"/>
      <c r="AE170" s="350"/>
      <c r="AF170" s="350"/>
      <c r="AG170" s="350"/>
      <c r="AH170" s="1088"/>
      <c r="AI170" s="1085"/>
    </row>
    <row r="171" spans="1:35" ht="122.4" customHeight="1" thickBot="1" x14ac:dyDescent="0.55000000000000004">
      <c r="A171" s="344"/>
      <c r="B171" s="1236" t="s">
        <v>627</v>
      </c>
      <c r="C171" s="1237" t="s">
        <v>628</v>
      </c>
      <c r="D171" s="702" t="s">
        <v>620</v>
      </c>
      <c r="E171" s="352">
        <v>0.7</v>
      </c>
      <c r="F171" s="353">
        <v>1132</v>
      </c>
      <c r="G171" s="372">
        <v>20</v>
      </c>
      <c r="H171" s="373">
        <v>367</v>
      </c>
      <c r="I171" s="362">
        <f>+G171/F171</f>
        <v>1.7667844522968199E-2</v>
      </c>
      <c r="J171" s="362">
        <f t="shared" si="68"/>
        <v>0.32420494699646646</v>
      </c>
      <c r="K171" s="363">
        <f>+(G171/F171)*E171</f>
        <v>1.2367491166077738E-2</v>
      </c>
      <c r="L171" s="411">
        <f t="shared" si="69"/>
        <v>0.22694346289752651</v>
      </c>
      <c r="M171" s="373">
        <v>17</v>
      </c>
      <c r="N171" s="587">
        <v>209</v>
      </c>
      <c r="O171" s="587">
        <v>0</v>
      </c>
      <c r="P171" s="587">
        <v>27</v>
      </c>
      <c r="Q171" s="587">
        <v>146</v>
      </c>
      <c r="R171" s="587">
        <v>0</v>
      </c>
      <c r="S171" s="373">
        <f>+N171+O171+P171+Q171+R171</f>
        <v>382</v>
      </c>
      <c r="T171" s="373">
        <f>+S171+M171</f>
        <v>399</v>
      </c>
      <c r="U171" s="410">
        <f>+(M171/G171)</f>
        <v>0.85</v>
      </c>
      <c r="V171" s="361">
        <v>1</v>
      </c>
      <c r="W171" s="361">
        <f>+U171*E171</f>
        <v>0.59499999999999997</v>
      </c>
      <c r="X171" s="361">
        <f>+V171*E171</f>
        <v>0.7</v>
      </c>
      <c r="Y171" s="361">
        <f>+M171/F171</f>
        <v>1.5017667844522967E-2</v>
      </c>
      <c r="Z171" s="361">
        <f>+T171/F171</f>
        <v>0.35247349823321555</v>
      </c>
      <c r="AA171" s="366">
        <f>+Y171*E171</f>
        <v>1.0512367491166076E-2</v>
      </c>
      <c r="AB171" s="366">
        <f>+Z171*E171</f>
        <v>0.24673144876325087</v>
      </c>
      <c r="AC171" s="648" t="s">
        <v>1850</v>
      </c>
      <c r="AD171" s="677" t="s">
        <v>1902</v>
      </c>
      <c r="AE171" s="350"/>
      <c r="AF171" s="650" t="s">
        <v>2295</v>
      </c>
      <c r="AG171" s="677" t="s">
        <v>2412</v>
      </c>
      <c r="AH171" s="677" t="s">
        <v>2447</v>
      </c>
      <c r="AI171" s="1085"/>
    </row>
    <row r="172" spans="1:35" ht="122.4" customHeight="1" thickBot="1" x14ac:dyDescent="0.55000000000000004">
      <c r="A172" s="344"/>
      <c r="B172" s="1236" t="s">
        <v>629</v>
      </c>
      <c r="C172" s="1237" t="s">
        <v>630</v>
      </c>
      <c r="D172" s="708" t="s">
        <v>620</v>
      </c>
      <c r="E172" s="352">
        <v>0.3</v>
      </c>
      <c r="F172" s="353">
        <v>320</v>
      </c>
      <c r="G172" s="372">
        <v>15</v>
      </c>
      <c r="H172" s="373">
        <v>100</v>
      </c>
      <c r="I172" s="362">
        <f>+G172/F172</f>
        <v>4.6875E-2</v>
      </c>
      <c r="J172" s="362">
        <f t="shared" si="68"/>
        <v>0.3125</v>
      </c>
      <c r="K172" s="363">
        <f>+(G172/F172)*E172</f>
        <v>1.4062499999999999E-2</v>
      </c>
      <c r="L172" s="411">
        <f t="shared" si="69"/>
        <v>9.375E-2</v>
      </c>
      <c r="M172" s="373">
        <v>19</v>
      </c>
      <c r="N172" s="587">
        <v>46</v>
      </c>
      <c r="O172" s="587">
        <v>0</v>
      </c>
      <c r="P172" s="587">
        <v>6</v>
      </c>
      <c r="Q172" s="587">
        <v>42</v>
      </c>
      <c r="R172" s="1179">
        <v>6</v>
      </c>
      <c r="S172" s="373">
        <f>+N172+O172+P172+Q172+R172</f>
        <v>100</v>
      </c>
      <c r="T172" s="373">
        <f>+S172+M172</f>
        <v>119</v>
      </c>
      <c r="U172" s="410">
        <v>1</v>
      </c>
      <c r="V172" s="361">
        <f>+S172/H172</f>
        <v>1</v>
      </c>
      <c r="W172" s="361">
        <f>+U172*E172</f>
        <v>0.3</v>
      </c>
      <c r="X172" s="361">
        <f>+V172*E172</f>
        <v>0.3</v>
      </c>
      <c r="Y172" s="361">
        <f>+M172/F172</f>
        <v>5.9374999999999997E-2</v>
      </c>
      <c r="Z172" s="361">
        <f>+T172/F172</f>
        <v>0.37187500000000001</v>
      </c>
      <c r="AA172" s="361">
        <f>+Y172*E172</f>
        <v>1.7812499999999998E-2</v>
      </c>
      <c r="AB172" s="361">
        <f>+Z172*E172</f>
        <v>0.1115625</v>
      </c>
      <c r="AC172" s="648" t="s">
        <v>1850</v>
      </c>
      <c r="AD172" s="677" t="s">
        <v>1902</v>
      </c>
      <c r="AE172" s="350"/>
      <c r="AF172" s="650" t="s">
        <v>2295</v>
      </c>
      <c r="AG172" s="677" t="s">
        <v>2412</v>
      </c>
      <c r="AH172" s="677" t="s">
        <v>2447</v>
      </c>
      <c r="AI172" s="1085"/>
    </row>
    <row r="173" spans="1:35" ht="122.4" customHeight="1" thickBot="1" x14ac:dyDescent="0.55000000000000004">
      <c r="A173" s="344"/>
      <c r="B173" s="1314" t="s">
        <v>1674</v>
      </c>
      <c r="C173" s="1315"/>
      <c r="D173" s="690"/>
      <c r="E173" s="349">
        <v>0.1</v>
      </c>
      <c r="F173" s="353"/>
      <c r="G173" s="372"/>
      <c r="H173" s="373"/>
      <c r="I173" s="369">
        <f>+AVERAGE(I174:I175)</f>
        <v>0.25058139534883722</v>
      </c>
      <c r="J173" s="369">
        <f>+AVERAGE(J174:J175)</f>
        <v>0.25058139534883722</v>
      </c>
      <c r="K173" s="370">
        <f>+K174+K175</f>
        <v>0.2508139534883721</v>
      </c>
      <c r="L173" s="370">
        <f>+L174+L175</f>
        <v>0.2508139534883721</v>
      </c>
      <c r="M173" s="373"/>
      <c r="N173" s="407"/>
      <c r="O173" s="407"/>
      <c r="P173" s="407"/>
      <c r="Q173" s="407"/>
      <c r="R173" s="407"/>
      <c r="S173" s="407"/>
      <c r="T173" s="407"/>
      <c r="U173" s="582">
        <f>+AVERAGE(U174:U175)</f>
        <v>1</v>
      </c>
      <c r="V173" s="392">
        <f>+AVERAGE(V174:V175)</f>
        <v>0.99314814814814811</v>
      </c>
      <c r="W173" s="392">
        <f>+(W174+W175)*E173</f>
        <v>0.1</v>
      </c>
      <c r="X173" s="392">
        <f>+(X174+X175)*E173</f>
        <v>9.9040740740740749E-2</v>
      </c>
      <c r="Y173" s="351">
        <f>+AVERAGE(Y174:Y175)</f>
        <v>0.33380620155038759</v>
      </c>
      <c r="Z173" s="351">
        <f>+AVERAGE(Z174:Z175)</f>
        <v>0.58266666666666667</v>
      </c>
      <c r="AA173" s="351">
        <f>+(AA174+AA175)*E173</f>
        <v>3.3399534883720931E-2</v>
      </c>
      <c r="AB173" s="351">
        <f>+(AB174+AB175)</f>
        <v>0.58239999999999992</v>
      </c>
      <c r="AC173" s="764"/>
      <c r="AD173" s="350"/>
      <c r="AE173" s="350"/>
      <c r="AF173" s="350"/>
      <c r="AG173" s="350"/>
      <c r="AH173" s="1088"/>
      <c r="AI173" s="1085"/>
    </row>
    <row r="174" spans="1:35" ht="122.4" customHeight="1" thickBot="1" x14ac:dyDescent="0.55000000000000004">
      <c r="A174" s="344"/>
      <c r="B174" s="1232" t="s">
        <v>631</v>
      </c>
      <c r="C174" s="1233" t="s">
        <v>632</v>
      </c>
      <c r="D174" s="547" t="s">
        <v>620</v>
      </c>
      <c r="E174" s="352">
        <v>0.7</v>
      </c>
      <c r="F174" s="353">
        <v>21500</v>
      </c>
      <c r="G174" s="372">
        <v>5400</v>
      </c>
      <c r="H174" s="373">
        <v>5400</v>
      </c>
      <c r="I174" s="362">
        <f>+G174/F174</f>
        <v>0.25116279069767444</v>
      </c>
      <c r="J174" s="362">
        <f t="shared" si="68"/>
        <v>0.25116279069767444</v>
      </c>
      <c r="K174" s="363">
        <f>+(G174/F174)*E174</f>
        <v>0.17581395348837209</v>
      </c>
      <c r="L174" s="411">
        <f t="shared" si="69"/>
        <v>0.17581395348837209</v>
      </c>
      <c r="M174" s="373">
        <v>7187</v>
      </c>
      <c r="N174" s="587">
        <v>300</v>
      </c>
      <c r="O174" s="587">
        <f>1338+205</f>
        <v>1543</v>
      </c>
      <c r="P174" s="587">
        <v>434</v>
      </c>
      <c r="Q174" s="587">
        <v>3049</v>
      </c>
      <c r="R174" s="587">
        <v>0</v>
      </c>
      <c r="S174" s="373">
        <f>+N174+O174+P174+Q174+R174</f>
        <v>5326</v>
      </c>
      <c r="T174" s="373">
        <f>+S174+M174</f>
        <v>12513</v>
      </c>
      <c r="U174" s="410">
        <v>1</v>
      </c>
      <c r="V174" s="361">
        <f>+S174/H174</f>
        <v>0.98629629629629634</v>
      </c>
      <c r="W174" s="361">
        <f>+U174*E174</f>
        <v>0.7</v>
      </c>
      <c r="X174" s="361">
        <f>+V174*E174</f>
        <v>0.69040740740740736</v>
      </c>
      <c r="Y174" s="361">
        <f>+M174/F174</f>
        <v>0.33427906976744187</v>
      </c>
      <c r="Z174" s="361">
        <f>+T174/F174</f>
        <v>0.58199999999999996</v>
      </c>
      <c r="AA174" s="361">
        <f>+Y174*E174</f>
        <v>0.23399534883720929</v>
      </c>
      <c r="AB174" s="361">
        <f>+Z174*E174</f>
        <v>0.40739999999999993</v>
      </c>
      <c r="AC174" s="648" t="s">
        <v>1850</v>
      </c>
      <c r="AD174" s="350"/>
      <c r="AE174" s="350"/>
      <c r="AF174" s="650" t="s">
        <v>2295</v>
      </c>
      <c r="AG174" s="677" t="s">
        <v>2412</v>
      </c>
      <c r="AH174" s="677" t="s">
        <v>2447</v>
      </c>
      <c r="AI174" s="1085"/>
    </row>
    <row r="175" spans="1:35" ht="122.4" customHeight="1" thickBot="1" x14ac:dyDescent="0.55000000000000004">
      <c r="A175" s="344"/>
      <c r="B175" s="1246" t="s">
        <v>633</v>
      </c>
      <c r="C175" s="1247" t="s">
        <v>634</v>
      </c>
      <c r="D175" s="547" t="s">
        <v>620</v>
      </c>
      <c r="E175" s="352">
        <v>0.3</v>
      </c>
      <c r="F175" s="353">
        <v>12</v>
      </c>
      <c r="G175" s="372">
        <v>3</v>
      </c>
      <c r="H175" s="373">
        <v>3</v>
      </c>
      <c r="I175" s="362">
        <f>+G175/F175</f>
        <v>0.25</v>
      </c>
      <c r="J175" s="362">
        <f>+H175/F175</f>
        <v>0.25</v>
      </c>
      <c r="K175" s="363">
        <f>+(G175/F175)*E175</f>
        <v>7.4999999999999997E-2</v>
      </c>
      <c r="L175" s="411">
        <f t="shared" si="69"/>
        <v>7.4999999999999997E-2</v>
      </c>
      <c r="M175" s="373">
        <v>4</v>
      </c>
      <c r="N175" s="587">
        <v>0.5</v>
      </c>
      <c r="O175" s="587">
        <v>1</v>
      </c>
      <c r="P175" s="587">
        <v>0.5</v>
      </c>
      <c r="Q175" s="587">
        <v>1</v>
      </c>
      <c r="R175" s="587">
        <v>0</v>
      </c>
      <c r="S175" s="373">
        <f>+N175+O175+P175+Q175+R175</f>
        <v>3</v>
      </c>
      <c r="T175" s="373">
        <f>+S175+M175</f>
        <v>7</v>
      </c>
      <c r="U175" s="410">
        <v>1</v>
      </c>
      <c r="V175" s="361">
        <f>+S175/H175</f>
        <v>1</v>
      </c>
      <c r="W175" s="361">
        <f>+U175*E175</f>
        <v>0.3</v>
      </c>
      <c r="X175" s="361">
        <f>+V175*E175</f>
        <v>0.3</v>
      </c>
      <c r="Y175" s="361">
        <f>+M175/F175</f>
        <v>0.33333333333333331</v>
      </c>
      <c r="Z175" s="361">
        <f>+T175/F175</f>
        <v>0.58333333333333337</v>
      </c>
      <c r="AA175" s="361">
        <f>+Y175*E175</f>
        <v>9.9999999999999992E-2</v>
      </c>
      <c r="AB175" s="361">
        <f>+Z175*E175</f>
        <v>0.17500000000000002</v>
      </c>
      <c r="AC175" s="648" t="s">
        <v>1850</v>
      </c>
      <c r="AD175" s="350"/>
      <c r="AE175" s="350"/>
      <c r="AF175" s="650" t="s">
        <v>2295</v>
      </c>
      <c r="AG175" s="677" t="s">
        <v>2412</v>
      </c>
      <c r="AH175" s="677" t="s">
        <v>2447</v>
      </c>
      <c r="AI175" s="1085"/>
    </row>
    <row r="176" spans="1:35" ht="122.4" customHeight="1" thickBot="1" x14ac:dyDescent="0.55000000000000004">
      <c r="A176" s="344"/>
      <c r="B176" s="1317" t="s">
        <v>1675</v>
      </c>
      <c r="C176" s="1318"/>
      <c r="D176" s="548"/>
      <c r="E176" s="349">
        <v>0.1</v>
      </c>
      <c r="F176" s="353"/>
      <c r="G176" s="372"/>
      <c r="H176" s="373"/>
      <c r="I176" s="369">
        <f>+AVERAGE(I177:I181)</f>
        <v>0.40547619047619043</v>
      </c>
      <c r="J176" s="369">
        <f>+AVERAGE(J177:J181)</f>
        <v>0.26428571428571429</v>
      </c>
      <c r="K176" s="370">
        <f>+K177+K178+K179+K180+K181</f>
        <v>0.29269047619047617</v>
      </c>
      <c r="L176" s="370">
        <f>+L177+L178+L179+L180+L181</f>
        <v>0.27214285714285719</v>
      </c>
      <c r="M176" s="373"/>
      <c r="N176" s="407"/>
      <c r="O176" s="407"/>
      <c r="P176" s="407"/>
      <c r="Q176" s="407"/>
      <c r="R176" s="407"/>
      <c r="S176" s="407"/>
      <c r="T176" s="407"/>
      <c r="U176" s="582">
        <f>+AVERAGE(U177:U181)</f>
        <v>0.95348837209302328</v>
      </c>
      <c r="V176" s="392">
        <f>+AVERAGE(V177:V181)</f>
        <v>0.99710447761194021</v>
      </c>
      <c r="W176" s="392">
        <f>+(W177+W178+W179+W180+W181)*E176</f>
        <v>7.7209302325581403E-2</v>
      </c>
      <c r="X176" s="392">
        <f>+(X177+X178+X179+X180+X181)*E176</f>
        <v>9.9565671641791059E-2</v>
      </c>
      <c r="Y176" s="351">
        <f>+AVERAGE(Y177:Y181)</f>
        <v>0.36753669154228857</v>
      </c>
      <c r="Z176" s="351">
        <f>+AVERAGE(Z177:Z181)</f>
        <v>0.70765785358919697</v>
      </c>
      <c r="AA176" s="351">
        <f>+(AA177+AA178+AA179+AA180+AA181)*E176</f>
        <v>2.7086664889836534E-2</v>
      </c>
      <c r="AB176" s="351">
        <f>+(AB177+AB178+AB179+AB180+AB181)</f>
        <v>0.68686416133617634</v>
      </c>
      <c r="AC176" s="764"/>
      <c r="AD176" s="350"/>
      <c r="AE176" s="350"/>
      <c r="AF176" s="350"/>
      <c r="AG176" s="350"/>
      <c r="AH176" s="1088"/>
      <c r="AI176" s="1085"/>
    </row>
    <row r="177" spans="1:35" ht="122.4" customHeight="1" thickBot="1" x14ac:dyDescent="0.55000000000000004">
      <c r="A177" s="344"/>
      <c r="B177" s="1236" t="s">
        <v>635</v>
      </c>
      <c r="C177" s="1248" t="s">
        <v>636</v>
      </c>
      <c r="D177" s="707" t="s">
        <v>620</v>
      </c>
      <c r="E177" s="352">
        <v>0.3</v>
      </c>
      <c r="F177" s="353">
        <v>26800</v>
      </c>
      <c r="G177" s="416">
        <v>6700</v>
      </c>
      <c r="H177" s="417">
        <v>6700</v>
      </c>
      <c r="I177" s="362">
        <f>+G177/F177</f>
        <v>0.25</v>
      </c>
      <c r="J177" s="362">
        <f>+H177/F177</f>
        <v>0.25</v>
      </c>
      <c r="K177" s="363">
        <f>+(G177/F177)*E177</f>
        <v>7.4999999999999997E-2</v>
      </c>
      <c r="L177" s="408">
        <f t="shared" si="69"/>
        <v>7.4999999999999997E-2</v>
      </c>
      <c r="M177" s="418">
        <v>6762</v>
      </c>
      <c r="N177" s="588">
        <v>1239</v>
      </c>
      <c r="O177" s="588">
        <f>4537+659</f>
        <v>5196</v>
      </c>
      <c r="P177" s="588">
        <v>0</v>
      </c>
      <c r="Q177" s="588">
        <v>168</v>
      </c>
      <c r="R177" s="588">
        <v>0</v>
      </c>
      <c r="S177" s="418">
        <f>+N177+O177+P177+Q177+R177</f>
        <v>6603</v>
      </c>
      <c r="T177" s="418">
        <f>+S177+M177</f>
        <v>13365</v>
      </c>
      <c r="U177" s="410">
        <v>1</v>
      </c>
      <c r="V177" s="361">
        <f>+S177/H177</f>
        <v>0.98552238805970149</v>
      </c>
      <c r="W177" s="361">
        <f>+U177*E177</f>
        <v>0.3</v>
      </c>
      <c r="X177" s="361">
        <f>+V177*E177</f>
        <v>0.29565671641791041</v>
      </c>
      <c r="Y177" s="361">
        <f>+M177/F177</f>
        <v>0.25231343283582092</v>
      </c>
      <c r="Z177" s="361">
        <f>+T177/F177</f>
        <v>0.49869402985074629</v>
      </c>
      <c r="AA177" s="361">
        <f>+Y177*E177</f>
        <v>7.5694029850746275E-2</v>
      </c>
      <c r="AB177" s="361">
        <f>+Z177*E177</f>
        <v>0.14960820895522389</v>
      </c>
      <c r="AC177" s="648" t="s">
        <v>1850</v>
      </c>
      <c r="AD177" s="677" t="s">
        <v>1902</v>
      </c>
      <c r="AE177" s="677" t="s">
        <v>2272</v>
      </c>
      <c r="AF177" s="650" t="s">
        <v>2295</v>
      </c>
      <c r="AG177" s="650" t="s">
        <v>2412</v>
      </c>
      <c r="AH177" s="677" t="s">
        <v>2447</v>
      </c>
      <c r="AI177" s="1085"/>
    </row>
    <row r="178" spans="1:35" ht="122.4" customHeight="1" thickBot="1" x14ac:dyDescent="0.55000000000000004">
      <c r="A178" s="344"/>
      <c r="B178" s="1236" t="s">
        <v>637</v>
      </c>
      <c r="C178" s="1248" t="s">
        <v>638</v>
      </c>
      <c r="D178" s="547" t="s">
        <v>620</v>
      </c>
      <c r="E178" s="352">
        <v>0.1</v>
      </c>
      <c r="F178" s="353">
        <f>(51*4)+ (6)</f>
        <v>210</v>
      </c>
      <c r="G178" s="372">
        <v>55</v>
      </c>
      <c r="H178" s="373">
        <v>57</v>
      </c>
      <c r="I178" s="362">
        <f>+G178/F178</f>
        <v>0.26190476190476192</v>
      </c>
      <c r="J178" s="362">
        <f t="shared" ref="J178:J191" si="71">+H178/F178</f>
        <v>0.27142857142857141</v>
      </c>
      <c r="K178" s="363">
        <f>+(G178/F178)*E178</f>
        <v>2.6190476190476195E-2</v>
      </c>
      <c r="L178" s="411">
        <f t="shared" si="69"/>
        <v>2.7142857142857142E-2</v>
      </c>
      <c r="M178" s="373">
        <v>55</v>
      </c>
      <c r="N178" s="587"/>
      <c r="O178" s="587">
        <v>55</v>
      </c>
      <c r="P178" s="587">
        <v>4</v>
      </c>
      <c r="Q178" s="587">
        <v>0</v>
      </c>
      <c r="R178" s="587">
        <v>0</v>
      </c>
      <c r="S178" s="418">
        <f t="shared" ref="S178:S181" si="72">+N178+O178+P178+Q178+R178</f>
        <v>59</v>
      </c>
      <c r="T178" s="373">
        <f>+S178+M178+4+4</f>
        <v>122</v>
      </c>
      <c r="U178" s="410">
        <f>+(M178/G178)</f>
        <v>1</v>
      </c>
      <c r="V178" s="361">
        <v>1</v>
      </c>
      <c r="W178" s="361">
        <f>+U178*E178</f>
        <v>0.1</v>
      </c>
      <c r="X178" s="361">
        <f>+V178*E178</f>
        <v>0.1</v>
      </c>
      <c r="Y178" s="361">
        <f>+M178/F178</f>
        <v>0.26190476190476192</v>
      </c>
      <c r="Z178" s="361">
        <f>+T178/F178</f>
        <v>0.580952380952381</v>
      </c>
      <c r="AA178" s="361">
        <f>+Y178*E178</f>
        <v>2.6190476190476195E-2</v>
      </c>
      <c r="AB178" s="361">
        <f>+Z178*E178</f>
        <v>5.8095238095238103E-2</v>
      </c>
      <c r="AC178" s="648" t="s">
        <v>1850</v>
      </c>
      <c r="AD178" s="1091" t="s">
        <v>1958</v>
      </c>
      <c r="AE178" s="677" t="s">
        <v>2272</v>
      </c>
      <c r="AF178" s="1089" t="s">
        <v>2300</v>
      </c>
      <c r="AG178" s="677" t="s">
        <v>2412</v>
      </c>
      <c r="AH178" s="645" t="s">
        <v>2485</v>
      </c>
      <c r="AI178" s="1085"/>
    </row>
    <row r="179" spans="1:35" ht="188.4" customHeight="1" thickBot="1" x14ac:dyDescent="0.55000000000000004">
      <c r="A179" s="344"/>
      <c r="B179" s="1236" t="s">
        <v>639</v>
      </c>
      <c r="C179" s="1248" t="s">
        <v>640</v>
      </c>
      <c r="D179" s="707" t="s">
        <v>641</v>
      </c>
      <c r="E179" s="352">
        <v>0.2</v>
      </c>
      <c r="F179" s="353">
        <v>4</v>
      </c>
      <c r="G179" s="372">
        <v>0</v>
      </c>
      <c r="H179" s="373">
        <v>2</v>
      </c>
      <c r="I179" s="362"/>
      <c r="J179" s="362">
        <f t="shared" si="71"/>
        <v>0.5</v>
      </c>
      <c r="K179" s="363"/>
      <c r="L179" s="411">
        <f t="shared" si="69"/>
        <v>0.1</v>
      </c>
      <c r="M179" s="373"/>
      <c r="N179" s="587">
        <v>0</v>
      </c>
      <c r="O179" s="587">
        <v>0</v>
      </c>
      <c r="P179" s="587">
        <v>0</v>
      </c>
      <c r="Q179" s="588">
        <v>4</v>
      </c>
      <c r="R179" s="588">
        <v>0</v>
      </c>
      <c r="S179" s="418">
        <f t="shared" si="72"/>
        <v>4</v>
      </c>
      <c r="T179" s="373">
        <f>+S179+M179</f>
        <v>4</v>
      </c>
      <c r="U179" s="410"/>
      <c r="V179" s="361">
        <v>1</v>
      </c>
      <c r="W179" s="361"/>
      <c r="X179" s="361">
        <f>+V179*E179</f>
        <v>0.2</v>
      </c>
      <c r="Y179" s="361"/>
      <c r="Z179" s="361">
        <f>+T179/F179</f>
        <v>1</v>
      </c>
      <c r="AA179" s="361"/>
      <c r="AB179" s="361">
        <f>+Z179*E179</f>
        <v>0.2</v>
      </c>
      <c r="AC179" s="648" t="s">
        <v>1850</v>
      </c>
      <c r="AD179" s="1091" t="s">
        <v>1959</v>
      </c>
      <c r="AE179" s="677" t="s">
        <v>2272</v>
      </c>
      <c r="AF179" s="650" t="s">
        <v>2295</v>
      </c>
      <c r="AG179" s="677" t="s">
        <v>2412</v>
      </c>
      <c r="AH179" s="645" t="s">
        <v>2485</v>
      </c>
      <c r="AI179" s="1085"/>
    </row>
    <row r="180" spans="1:35" ht="122.4" customHeight="1" thickBot="1" x14ac:dyDescent="0.55000000000000004">
      <c r="A180" s="344"/>
      <c r="B180" s="1236" t="s">
        <v>642</v>
      </c>
      <c r="C180" s="1237" t="s">
        <v>643</v>
      </c>
      <c r="D180" s="547" t="s">
        <v>620</v>
      </c>
      <c r="E180" s="352">
        <v>0.25</v>
      </c>
      <c r="F180" s="353">
        <v>28000</v>
      </c>
      <c r="G180" s="372">
        <v>7000</v>
      </c>
      <c r="H180" s="373">
        <v>7000</v>
      </c>
      <c r="I180" s="362">
        <f>+G180/F180</f>
        <v>0.25</v>
      </c>
      <c r="J180" s="362">
        <f t="shared" si="71"/>
        <v>0.25</v>
      </c>
      <c r="K180" s="363">
        <f>+(G180/F180)*E180</f>
        <v>6.25E-2</v>
      </c>
      <c r="L180" s="411">
        <f t="shared" si="69"/>
        <v>6.25E-2</v>
      </c>
      <c r="M180" s="373">
        <v>7166</v>
      </c>
      <c r="N180" s="587">
        <v>429</v>
      </c>
      <c r="O180" s="587">
        <f>8552-N180+1184</f>
        <v>9307</v>
      </c>
      <c r="P180" s="587">
        <v>0</v>
      </c>
      <c r="Q180" s="587">
        <v>0</v>
      </c>
      <c r="R180" s="587">
        <v>0</v>
      </c>
      <c r="S180" s="418">
        <f t="shared" si="72"/>
        <v>9736</v>
      </c>
      <c r="T180" s="373">
        <f>+S180+M180</f>
        <v>16902</v>
      </c>
      <c r="U180" s="410">
        <v>1</v>
      </c>
      <c r="V180" s="361">
        <v>1</v>
      </c>
      <c r="W180" s="361">
        <f>+U180*E180</f>
        <v>0.25</v>
      </c>
      <c r="X180" s="361">
        <f>+V180*E180</f>
        <v>0.25</v>
      </c>
      <c r="Y180" s="361">
        <f>+M180/F180</f>
        <v>0.25592857142857145</v>
      </c>
      <c r="Z180" s="361">
        <f>+T180/F180</f>
        <v>0.60364285714285715</v>
      </c>
      <c r="AA180" s="361">
        <f>+Y180*E180</f>
        <v>6.3982142857142862E-2</v>
      </c>
      <c r="AB180" s="361">
        <f>+Z180*E180</f>
        <v>0.15091071428571429</v>
      </c>
      <c r="AC180" s="648" t="s">
        <v>1850</v>
      </c>
      <c r="AD180" s="677" t="s">
        <v>1902</v>
      </c>
      <c r="AE180" s="677" t="s">
        <v>2272</v>
      </c>
      <c r="AF180" s="650" t="s">
        <v>2295</v>
      </c>
      <c r="AG180" s="677" t="s">
        <v>2412</v>
      </c>
      <c r="AH180" s="677" t="s">
        <v>2447</v>
      </c>
      <c r="AI180" s="1085"/>
    </row>
    <row r="181" spans="1:35" ht="162.6" customHeight="1" thickBot="1" x14ac:dyDescent="0.55000000000000004">
      <c r="A181" s="344"/>
      <c r="B181" s="1236" t="s">
        <v>644</v>
      </c>
      <c r="C181" s="1237" t="s">
        <v>645</v>
      </c>
      <c r="D181" s="709" t="s">
        <v>641</v>
      </c>
      <c r="E181" s="352">
        <v>0.15</v>
      </c>
      <c r="F181" s="353">
        <v>200</v>
      </c>
      <c r="G181" s="372">
        <v>172</v>
      </c>
      <c r="H181" s="373">
        <v>10</v>
      </c>
      <c r="I181" s="362">
        <f>+G181/F181</f>
        <v>0.86</v>
      </c>
      <c r="J181" s="362">
        <f t="shared" si="71"/>
        <v>0.05</v>
      </c>
      <c r="K181" s="363">
        <f>+(G181/F181)*E181</f>
        <v>0.129</v>
      </c>
      <c r="L181" s="411">
        <f t="shared" si="69"/>
        <v>7.4999999999999997E-3</v>
      </c>
      <c r="M181" s="373">
        <v>140</v>
      </c>
      <c r="N181" s="587">
        <v>0</v>
      </c>
      <c r="O181" s="587">
        <v>0</v>
      </c>
      <c r="P181" s="587">
        <v>31</v>
      </c>
      <c r="Q181" s="587">
        <v>0</v>
      </c>
      <c r="R181" s="587"/>
      <c r="S181" s="418">
        <f t="shared" si="72"/>
        <v>31</v>
      </c>
      <c r="T181" s="373">
        <f>+S181+M181</f>
        <v>171</v>
      </c>
      <c r="U181" s="410">
        <f>+(M181/G181)</f>
        <v>0.81395348837209303</v>
      </c>
      <c r="V181" s="361">
        <v>1</v>
      </c>
      <c r="W181" s="361">
        <f>+U181*E181</f>
        <v>0.12209302325581395</v>
      </c>
      <c r="X181" s="361">
        <f>+V181*E181</f>
        <v>0.15</v>
      </c>
      <c r="Y181" s="361">
        <f>+M181/F181</f>
        <v>0.7</v>
      </c>
      <c r="Z181" s="361">
        <f>+T181/F181</f>
        <v>0.85499999999999998</v>
      </c>
      <c r="AA181" s="361">
        <f>+Y181*E181</f>
        <v>0.105</v>
      </c>
      <c r="AB181" s="361">
        <f>+Z181*E181</f>
        <v>0.12825</v>
      </c>
      <c r="AC181" s="648" t="s">
        <v>1850</v>
      </c>
      <c r="AD181" s="1091" t="s">
        <v>1960</v>
      </c>
      <c r="AE181" s="677" t="s">
        <v>2272</v>
      </c>
      <c r="AF181" s="1089" t="s">
        <v>2301</v>
      </c>
      <c r="AG181" s="1089" t="s">
        <v>2434</v>
      </c>
      <c r="AH181" s="677" t="s">
        <v>2447</v>
      </c>
      <c r="AI181" s="1085"/>
    </row>
    <row r="182" spans="1:35" ht="122.4" customHeight="1" thickBot="1" x14ac:dyDescent="0.55000000000000004">
      <c r="A182" s="344"/>
      <c r="B182" s="1308" t="s">
        <v>1676</v>
      </c>
      <c r="C182" s="1309"/>
      <c r="D182" s="695"/>
      <c r="E182" s="349">
        <v>0.1</v>
      </c>
      <c r="F182" s="353"/>
      <c r="G182" s="372"/>
      <c r="H182" s="373"/>
      <c r="I182" s="369">
        <f>+AVERAGE(I183)</f>
        <v>0.25409836065573771</v>
      </c>
      <c r="J182" s="369">
        <f>+AVERAGE(J183)</f>
        <v>0.25</v>
      </c>
      <c r="K182" s="370">
        <f>+K183</f>
        <v>0.25409836065573771</v>
      </c>
      <c r="L182" s="370">
        <f>+L183</f>
        <v>0.25</v>
      </c>
      <c r="M182" s="373"/>
      <c r="N182" s="407"/>
      <c r="O182" s="407"/>
      <c r="P182" s="407"/>
      <c r="Q182" s="407"/>
      <c r="R182" s="407"/>
      <c r="S182" s="407"/>
      <c r="T182" s="407"/>
      <c r="U182" s="582">
        <f>+AVERAGE(U183)</f>
        <v>1</v>
      </c>
      <c r="V182" s="392">
        <f>+AVERAGE(V183)</f>
        <v>0.92419672131147546</v>
      </c>
      <c r="W182" s="392">
        <f>+(W183)*E182</f>
        <v>0.1</v>
      </c>
      <c r="X182" s="392">
        <f>+(X183)*E182</f>
        <v>9.2419672131147546E-2</v>
      </c>
      <c r="Y182" s="351">
        <f>+AVERAGE(Y183)</f>
        <v>0.25537704918032789</v>
      </c>
      <c r="Z182" s="351">
        <f>+AVERAGE(Z183)</f>
        <v>0.48642622950819669</v>
      </c>
      <c r="AA182" s="351">
        <f>+(AA183)*E182</f>
        <v>2.553770491803279E-2</v>
      </c>
      <c r="AB182" s="351">
        <f>+(AB183)</f>
        <v>0.48642622950819669</v>
      </c>
      <c r="AC182" s="764"/>
      <c r="AD182" s="350"/>
      <c r="AE182" s="350"/>
      <c r="AF182" s="350"/>
      <c r="AG182" s="350"/>
      <c r="AH182" s="1088"/>
      <c r="AI182" s="1085"/>
    </row>
    <row r="183" spans="1:35" ht="122.4" customHeight="1" thickBot="1" x14ac:dyDescent="0.55000000000000004">
      <c r="A183" s="344"/>
      <c r="B183" s="1206" t="s">
        <v>646</v>
      </c>
      <c r="C183" s="1228" t="s">
        <v>647</v>
      </c>
      <c r="D183" s="702" t="s">
        <v>620</v>
      </c>
      <c r="E183" s="352">
        <v>1</v>
      </c>
      <c r="F183" s="353">
        <v>61000</v>
      </c>
      <c r="G183" s="372">
        <v>15500</v>
      </c>
      <c r="H183" s="373">
        <v>15250</v>
      </c>
      <c r="I183" s="362">
        <f>+G183/F183</f>
        <v>0.25409836065573771</v>
      </c>
      <c r="J183" s="362">
        <f t="shared" si="71"/>
        <v>0.25</v>
      </c>
      <c r="K183" s="363">
        <f>+(G183/F183)*E183</f>
        <v>0.25409836065573771</v>
      </c>
      <c r="L183" s="411">
        <f t="shared" si="69"/>
        <v>0.25</v>
      </c>
      <c r="M183" s="373">
        <v>15578</v>
      </c>
      <c r="N183" s="587">
        <v>264</v>
      </c>
      <c r="O183" s="587">
        <f>1865-N183+3400</f>
        <v>5001</v>
      </c>
      <c r="P183" s="587">
        <v>3468</v>
      </c>
      <c r="Q183" s="587">
        <v>3585</v>
      </c>
      <c r="R183" s="587">
        <v>1776</v>
      </c>
      <c r="S183" s="373">
        <f>+N183+O183+P183+Q183+R183</f>
        <v>14094</v>
      </c>
      <c r="T183" s="373">
        <f>+S183+M183</f>
        <v>29672</v>
      </c>
      <c r="U183" s="433">
        <v>1</v>
      </c>
      <c r="V183" s="361">
        <f>+S183/H183</f>
        <v>0.92419672131147546</v>
      </c>
      <c r="W183" s="361">
        <f>+U183*E183</f>
        <v>1</v>
      </c>
      <c r="X183" s="361">
        <f>+V183*E183</f>
        <v>0.92419672131147546</v>
      </c>
      <c r="Y183" s="361">
        <f>+M183/F183</f>
        <v>0.25537704918032789</v>
      </c>
      <c r="Z183" s="361">
        <f>+T183/F183</f>
        <v>0.48642622950819669</v>
      </c>
      <c r="AA183" s="361">
        <f>+Y183*E183</f>
        <v>0.25537704918032789</v>
      </c>
      <c r="AB183" s="361">
        <f>+Z183*E183</f>
        <v>0.48642622950819669</v>
      </c>
      <c r="AC183" s="648" t="s">
        <v>1850</v>
      </c>
      <c r="AD183" s="677" t="s">
        <v>1902</v>
      </c>
      <c r="AE183" s="350"/>
      <c r="AF183" s="650" t="s">
        <v>2295</v>
      </c>
      <c r="AG183" s="677" t="s">
        <v>2412</v>
      </c>
      <c r="AH183" s="677" t="s">
        <v>2447</v>
      </c>
      <c r="AI183" s="1085"/>
    </row>
    <row r="184" spans="1:35" ht="122.4" customHeight="1" thickBot="1" x14ac:dyDescent="0.55000000000000004">
      <c r="A184" s="344"/>
      <c r="B184" s="1308" t="s">
        <v>1677</v>
      </c>
      <c r="C184" s="1309"/>
      <c r="D184" s="696"/>
      <c r="E184" s="349">
        <v>0.1</v>
      </c>
      <c r="F184" s="353"/>
      <c r="G184" s="372"/>
      <c r="H184" s="373"/>
      <c r="I184" s="369">
        <f>+AVERAGE(I185:I186)</f>
        <v>0.25</v>
      </c>
      <c r="J184" s="369">
        <f>+AVERAGE(J185:J186)</f>
        <v>0.25948888888888888</v>
      </c>
      <c r="K184" s="370">
        <f>+K185+K186</f>
        <v>0.25</v>
      </c>
      <c r="L184" s="583">
        <f>+L185+L186</f>
        <v>0.25981777777777776</v>
      </c>
      <c r="M184" s="373"/>
      <c r="N184" s="407"/>
      <c r="O184" s="407"/>
      <c r="P184" s="407"/>
      <c r="Q184" s="407"/>
      <c r="R184" s="407"/>
      <c r="S184" s="407"/>
      <c r="T184" s="407"/>
      <c r="U184" s="392">
        <f>+AVERAGE(U185:U186)</f>
        <v>1</v>
      </c>
      <c r="V184" s="582">
        <f>+AVERAGE(V185:V186)</f>
        <v>1</v>
      </c>
      <c r="W184" s="392">
        <f>+(W185+W186)*E184</f>
        <v>0.1</v>
      </c>
      <c r="X184" s="392">
        <f>+(X185+X186)*F184</f>
        <v>0</v>
      </c>
      <c r="Y184" s="351">
        <f>+AVERAGE(Y185:Y186)</f>
        <v>0.30041388888888887</v>
      </c>
      <c r="Z184" s="351">
        <f>+AVERAGE(Z185:Z186)</f>
        <v>0.69670694444444448</v>
      </c>
      <c r="AA184" s="351">
        <f>+(AA185+AA186)*E184</f>
        <v>3.0235694444444447E-2</v>
      </c>
      <c r="AB184" s="351">
        <f>+(AB185+AB186)</f>
        <v>0.69215680555555559</v>
      </c>
      <c r="AC184" s="764"/>
      <c r="AD184" s="350"/>
      <c r="AE184" s="350"/>
      <c r="AF184" s="350"/>
      <c r="AG184" s="350"/>
      <c r="AH184" s="1088"/>
      <c r="AI184" s="1085"/>
    </row>
    <row r="185" spans="1:35" ht="122.4" customHeight="1" thickBot="1" x14ac:dyDescent="0.45">
      <c r="A185" s="344"/>
      <c r="B185" s="1206" t="s">
        <v>648</v>
      </c>
      <c r="C185" s="1228" t="s">
        <v>649</v>
      </c>
      <c r="D185" s="702" t="s">
        <v>620</v>
      </c>
      <c r="E185" s="352">
        <v>0.55000000000000004</v>
      </c>
      <c r="F185" s="353">
        <v>180000</v>
      </c>
      <c r="G185" s="372">
        <v>45000</v>
      </c>
      <c r="H185" s="373">
        <v>47300</v>
      </c>
      <c r="I185" s="362">
        <f>+G185/F185</f>
        <v>0.25</v>
      </c>
      <c r="J185" s="362">
        <f t="shared" si="71"/>
        <v>0.26277777777777778</v>
      </c>
      <c r="K185" s="411">
        <f>+(G185/F185)*E185</f>
        <v>0.13750000000000001</v>
      </c>
      <c r="L185" s="423">
        <f t="shared" si="69"/>
        <v>0.14452777777777778</v>
      </c>
      <c r="M185" s="417">
        <v>57572</v>
      </c>
      <c r="N185" s="589">
        <v>4292</v>
      </c>
      <c r="O185" s="589">
        <f>31848-N185+2645</f>
        <v>30201</v>
      </c>
      <c r="P185" s="589">
        <v>11688</v>
      </c>
      <c r="Q185" s="589">
        <v>4114</v>
      </c>
      <c r="R185" s="589">
        <v>9350</v>
      </c>
      <c r="S185" s="417">
        <f>+N185+O185+P185+Q185+R185</f>
        <v>59645</v>
      </c>
      <c r="T185" s="417">
        <f>+S185+M185</f>
        <v>117217</v>
      </c>
      <c r="U185" s="585">
        <v>1</v>
      </c>
      <c r="V185" s="361">
        <v>1</v>
      </c>
      <c r="W185" s="361">
        <f>+U185*E185</f>
        <v>0.55000000000000004</v>
      </c>
      <c r="X185" s="361">
        <f>+V185*E185</f>
        <v>0.55000000000000004</v>
      </c>
      <c r="Y185" s="361">
        <f>+M185/F185</f>
        <v>0.31984444444444443</v>
      </c>
      <c r="Z185" s="361">
        <f>+T185/F185</f>
        <v>0.65120555555555559</v>
      </c>
      <c r="AA185" s="361">
        <f>+Y185*E185</f>
        <v>0.17591444444444446</v>
      </c>
      <c r="AB185" s="361">
        <f>+Z185*E185</f>
        <v>0.35816305555555561</v>
      </c>
      <c r="AC185" s="648" t="s">
        <v>1850</v>
      </c>
      <c r="AD185" s="677" t="s">
        <v>1902</v>
      </c>
      <c r="AE185" s="350"/>
      <c r="AF185" s="650" t="s">
        <v>2295</v>
      </c>
      <c r="AG185" s="677" t="s">
        <v>2412</v>
      </c>
      <c r="AH185" s="677" t="s">
        <v>2447</v>
      </c>
      <c r="AI185" s="677" t="s">
        <v>2564</v>
      </c>
    </row>
    <row r="186" spans="1:35" ht="122.4" customHeight="1" thickBot="1" x14ac:dyDescent="0.45">
      <c r="A186" s="344"/>
      <c r="B186" s="1206" t="s">
        <v>650</v>
      </c>
      <c r="C186" s="1228" t="s">
        <v>651</v>
      </c>
      <c r="D186" s="702" t="s">
        <v>620</v>
      </c>
      <c r="E186" s="352">
        <v>0.45</v>
      </c>
      <c r="F186" s="353">
        <v>120000</v>
      </c>
      <c r="G186" s="372">
        <v>30000</v>
      </c>
      <c r="H186" s="373">
        <v>30744</v>
      </c>
      <c r="I186" s="362">
        <f>+G186/F186</f>
        <v>0.25</v>
      </c>
      <c r="J186" s="362">
        <f t="shared" si="71"/>
        <v>0.25619999999999998</v>
      </c>
      <c r="K186" s="363">
        <f>+(G186/F186)*E186</f>
        <v>0.1125</v>
      </c>
      <c r="L186" s="408">
        <f t="shared" si="69"/>
        <v>0.11528999999999999</v>
      </c>
      <c r="M186" s="418">
        <v>33718</v>
      </c>
      <c r="N186" s="588">
        <v>10000</v>
      </c>
      <c r="O186" s="588">
        <f>20067-N186+5862</f>
        <v>15929</v>
      </c>
      <c r="P186" s="588">
        <v>12750</v>
      </c>
      <c r="Q186" s="588">
        <v>12376</v>
      </c>
      <c r="R186" s="589">
        <v>4292</v>
      </c>
      <c r="S186" s="417">
        <f>+N186+O186+P186+Q186+R186</f>
        <v>55347</v>
      </c>
      <c r="T186" s="418">
        <f>+S186+M186</f>
        <v>89065</v>
      </c>
      <c r="U186" s="410">
        <v>1</v>
      </c>
      <c r="V186" s="361">
        <v>1</v>
      </c>
      <c r="W186" s="361">
        <f>+U186*E186</f>
        <v>0.45</v>
      </c>
      <c r="X186" s="361">
        <f>+V186*E186</f>
        <v>0.45</v>
      </c>
      <c r="Y186" s="361">
        <f>+M186/F186</f>
        <v>0.28098333333333331</v>
      </c>
      <c r="Z186" s="361">
        <f>+T186/F186</f>
        <v>0.74220833333333336</v>
      </c>
      <c r="AA186" s="361">
        <f>+Y186*E186</f>
        <v>0.12644249999999999</v>
      </c>
      <c r="AB186" s="361">
        <f>+Z186*E186</f>
        <v>0.33399375000000003</v>
      </c>
      <c r="AC186" s="648" t="s">
        <v>1850</v>
      </c>
      <c r="AD186" s="677" t="s">
        <v>1902</v>
      </c>
      <c r="AE186" s="350"/>
      <c r="AF186" s="650" t="s">
        <v>2295</v>
      </c>
      <c r="AG186" s="677" t="s">
        <v>2412</v>
      </c>
      <c r="AH186" s="677" t="s">
        <v>2447</v>
      </c>
      <c r="AI186" s="677" t="s">
        <v>2564</v>
      </c>
    </row>
    <row r="187" spans="1:35" ht="122.4" customHeight="1" thickBot="1" x14ac:dyDescent="0.55000000000000004">
      <c r="A187" s="344"/>
      <c r="B187" s="1308" t="s">
        <v>1678</v>
      </c>
      <c r="C187" s="1309"/>
      <c r="D187" s="696"/>
      <c r="E187" s="349">
        <v>0.05</v>
      </c>
      <c r="F187" s="353"/>
      <c r="G187" s="372"/>
      <c r="H187" s="373"/>
      <c r="I187" s="369">
        <f>+AVERAGE(I188:I191)</f>
        <v>0.16762820512820512</v>
      </c>
      <c r="J187" s="369">
        <f>+AVERAGE(J188:J191)</f>
        <v>0.26798878205128207</v>
      </c>
      <c r="K187" s="370">
        <f>+K188+K189+K190+K191</f>
        <v>0.1792948717948718</v>
      </c>
      <c r="L187" s="370">
        <f>+L188+L189+L190+L191</f>
        <v>0.26496794871794871</v>
      </c>
      <c r="M187" s="373"/>
      <c r="N187" s="407"/>
      <c r="O187" s="407"/>
      <c r="P187" s="407"/>
      <c r="Q187" s="407"/>
      <c r="R187" s="407"/>
      <c r="S187" s="407"/>
      <c r="T187" s="407"/>
      <c r="U187" s="582">
        <f>+AVERAGE(U188:U191)</f>
        <v>1</v>
      </c>
      <c r="V187" s="392">
        <f>+AVERAGE(V188:V191)</f>
        <v>0.98</v>
      </c>
      <c r="W187" s="392">
        <f>+(W188+W189+W190+W191)*E187</f>
        <v>0.05</v>
      </c>
      <c r="X187" s="392">
        <f>+(X188+X189+X190+X191)*E187</f>
        <v>4.9200000000000008E-2</v>
      </c>
      <c r="Y187" s="351">
        <f>+AVERAGE(Y188:Y191)</f>
        <v>0.38750608974358969</v>
      </c>
      <c r="Z187" s="351">
        <f>+AVERAGE(Z188:Z191)</f>
        <v>0.81930320512820509</v>
      </c>
      <c r="AA187" s="351">
        <f>+(AA188+AA189+AA190+AA191)*E187</f>
        <v>1.9255512820512823E-2</v>
      </c>
      <c r="AB187" s="351">
        <f>+(AB188+AB189+AB190+AB191)</f>
        <v>0.85509487179487176</v>
      </c>
      <c r="AC187" s="764"/>
      <c r="AD187" s="350"/>
      <c r="AE187" s="350"/>
      <c r="AF187" s="350"/>
      <c r="AG187" s="350"/>
      <c r="AH187" s="1088"/>
      <c r="AI187" s="1085"/>
    </row>
    <row r="188" spans="1:35" ht="122.4" customHeight="1" thickBot="1" x14ac:dyDescent="0.45">
      <c r="A188" s="344"/>
      <c r="B188" s="1229" t="s">
        <v>652</v>
      </c>
      <c r="C188" s="1230" t="s">
        <v>653</v>
      </c>
      <c r="D188" s="702" t="s">
        <v>620</v>
      </c>
      <c r="E188" s="352">
        <v>0.2</v>
      </c>
      <c r="F188" s="353">
        <v>200</v>
      </c>
      <c r="G188" s="372">
        <v>20</v>
      </c>
      <c r="H188" s="373">
        <v>60</v>
      </c>
      <c r="I188" s="362">
        <f>+G188/F188</f>
        <v>0.1</v>
      </c>
      <c r="J188" s="362">
        <f t="shared" si="71"/>
        <v>0.3</v>
      </c>
      <c r="K188" s="363">
        <f>+(G188/F188)*E188</f>
        <v>2.0000000000000004E-2</v>
      </c>
      <c r="L188" s="411">
        <f t="shared" si="69"/>
        <v>0.06</v>
      </c>
      <c r="M188" s="373">
        <v>70</v>
      </c>
      <c r="N188" s="587">
        <v>5</v>
      </c>
      <c r="O188" s="587">
        <v>10</v>
      </c>
      <c r="P188" s="587">
        <v>8</v>
      </c>
      <c r="Q188" s="587">
        <v>41</v>
      </c>
      <c r="R188" s="587">
        <v>2</v>
      </c>
      <c r="S188" s="373">
        <f>+N188+O188+P188+Q188+R188</f>
        <v>66</v>
      </c>
      <c r="T188" s="373">
        <f>+S188+M188</f>
        <v>136</v>
      </c>
      <c r="U188" s="410">
        <v>1</v>
      </c>
      <c r="V188" s="361">
        <v>1</v>
      </c>
      <c r="W188" s="361">
        <f>+U188*E188</f>
        <v>0.2</v>
      </c>
      <c r="X188" s="361">
        <f>+V188*E188</f>
        <v>0.2</v>
      </c>
      <c r="Y188" s="361">
        <f>+M188/F188</f>
        <v>0.35</v>
      </c>
      <c r="Z188" s="361">
        <f>+T188/F188</f>
        <v>0.68</v>
      </c>
      <c r="AA188" s="361">
        <f>+Y188*E188</f>
        <v>6.9999999999999993E-2</v>
      </c>
      <c r="AB188" s="361">
        <f>+Z188*E188</f>
        <v>0.13600000000000001</v>
      </c>
      <c r="AC188" s="648" t="s">
        <v>1850</v>
      </c>
      <c r="AD188" s="1091" t="s">
        <v>1961</v>
      </c>
      <c r="AE188" s="350"/>
      <c r="AF188" s="650" t="s">
        <v>2295</v>
      </c>
      <c r="AG188" s="677" t="s">
        <v>2412</v>
      </c>
      <c r="AH188" s="677" t="s">
        <v>2447</v>
      </c>
      <c r="AI188" s="677" t="s">
        <v>2564</v>
      </c>
    </row>
    <row r="189" spans="1:35" ht="122.4" customHeight="1" thickBot="1" x14ac:dyDescent="0.45">
      <c r="A189" s="344"/>
      <c r="B189" s="1206" t="s">
        <v>654</v>
      </c>
      <c r="C189" s="1228" t="s">
        <v>655</v>
      </c>
      <c r="D189" s="702" t="s">
        <v>620</v>
      </c>
      <c r="E189" s="352">
        <v>0.35</v>
      </c>
      <c r="F189" s="353">
        <v>60000</v>
      </c>
      <c r="G189" s="372">
        <v>15000</v>
      </c>
      <c r="H189" s="373">
        <v>15000</v>
      </c>
      <c r="I189" s="362">
        <f>+G189/F189</f>
        <v>0.25</v>
      </c>
      <c r="J189" s="419">
        <f t="shared" si="71"/>
        <v>0.25</v>
      </c>
      <c r="K189" s="420">
        <f>+(G189/F189)*E189</f>
        <v>8.7499999999999994E-2</v>
      </c>
      <c r="L189" s="421">
        <f t="shared" si="69"/>
        <v>8.7499999999999994E-2</v>
      </c>
      <c r="M189" s="373">
        <v>20000</v>
      </c>
      <c r="N189" s="587">
        <v>14328</v>
      </c>
      <c r="O189" s="587">
        <f>51827-N189+1650</f>
        <v>39149</v>
      </c>
      <c r="P189" s="587">
        <v>7057</v>
      </c>
      <c r="Q189" s="587">
        <v>131292</v>
      </c>
      <c r="R189" s="587">
        <v>550</v>
      </c>
      <c r="S189" s="373">
        <f t="shared" ref="S189:S190" si="73">+N189+O189+P189+Q189+R189</f>
        <v>192376</v>
      </c>
      <c r="T189" s="373">
        <f>+S189+M189</f>
        <v>212376</v>
      </c>
      <c r="U189" s="410">
        <v>1</v>
      </c>
      <c r="V189" s="361">
        <v>1</v>
      </c>
      <c r="W189" s="361">
        <f>+U189*E189</f>
        <v>0.35</v>
      </c>
      <c r="X189" s="361">
        <f>+V189*E189</f>
        <v>0.35</v>
      </c>
      <c r="Y189" s="361">
        <f>+M189/F189</f>
        <v>0.33333333333333331</v>
      </c>
      <c r="Z189" s="361">
        <v>1</v>
      </c>
      <c r="AA189" s="361">
        <f>+Y189*E189</f>
        <v>0.11666666666666665</v>
      </c>
      <c r="AB189" s="361">
        <f>+Z189*E189</f>
        <v>0.35</v>
      </c>
      <c r="AC189" s="648" t="s">
        <v>1850</v>
      </c>
      <c r="AD189" s="677" t="s">
        <v>1902</v>
      </c>
      <c r="AE189" s="350"/>
      <c r="AF189" s="650" t="s">
        <v>1591</v>
      </c>
      <c r="AG189" s="677" t="s">
        <v>2412</v>
      </c>
      <c r="AH189" s="677" t="s">
        <v>2447</v>
      </c>
      <c r="AI189" s="677" t="s">
        <v>2564</v>
      </c>
    </row>
    <row r="190" spans="1:35" ht="122.4" customHeight="1" thickBot="1" x14ac:dyDescent="0.45">
      <c r="A190" s="344"/>
      <c r="B190" s="1229" t="s">
        <v>656</v>
      </c>
      <c r="C190" s="1230" t="s">
        <v>657</v>
      </c>
      <c r="D190" s="702" t="s">
        <v>620</v>
      </c>
      <c r="E190" s="352">
        <v>0.2</v>
      </c>
      <c r="F190" s="353">
        <v>96</v>
      </c>
      <c r="G190" s="372">
        <v>16</v>
      </c>
      <c r="H190" s="373">
        <v>25</v>
      </c>
      <c r="I190" s="422">
        <f>+G190/F190</f>
        <v>0.16666666666666666</v>
      </c>
      <c r="J190" s="423">
        <f t="shared" si="71"/>
        <v>0.26041666666666669</v>
      </c>
      <c r="K190" s="423">
        <f>+(G190/F190)*E190</f>
        <v>3.3333333333333333E-2</v>
      </c>
      <c r="L190" s="423">
        <f t="shared" si="69"/>
        <v>5.2083333333333343E-2</v>
      </c>
      <c r="M190" s="373">
        <v>35</v>
      </c>
      <c r="N190" s="587">
        <v>1</v>
      </c>
      <c r="O190" s="587">
        <v>3</v>
      </c>
      <c r="P190" s="587">
        <v>0</v>
      </c>
      <c r="Q190" s="587">
        <v>19</v>
      </c>
      <c r="R190" s="587">
        <v>0</v>
      </c>
      <c r="S190" s="373">
        <f t="shared" si="73"/>
        <v>23</v>
      </c>
      <c r="T190" s="373">
        <f>+S190+M190</f>
        <v>58</v>
      </c>
      <c r="U190" s="410">
        <v>1</v>
      </c>
      <c r="V190" s="361">
        <f>+S190/H190</f>
        <v>0.92</v>
      </c>
      <c r="W190" s="361">
        <f>+U190*E190</f>
        <v>0.2</v>
      </c>
      <c r="X190" s="361">
        <f>+V190*E190</f>
        <v>0.18400000000000002</v>
      </c>
      <c r="Y190" s="361">
        <f>+M190/F190</f>
        <v>0.36458333333333331</v>
      </c>
      <c r="Z190" s="361">
        <f>+T190/F190</f>
        <v>0.60416666666666663</v>
      </c>
      <c r="AA190" s="361">
        <f>+Y190*E190</f>
        <v>7.2916666666666671E-2</v>
      </c>
      <c r="AB190" s="361">
        <f>+Z190*E190</f>
        <v>0.12083333333333333</v>
      </c>
      <c r="AC190" s="648" t="s">
        <v>1850</v>
      </c>
      <c r="AD190" s="1091" t="s">
        <v>1961</v>
      </c>
      <c r="AE190" s="350"/>
      <c r="AF190" s="650" t="s">
        <v>1591</v>
      </c>
      <c r="AG190" s="677" t="s">
        <v>2412</v>
      </c>
      <c r="AH190" s="677" t="s">
        <v>2447</v>
      </c>
      <c r="AI190" s="677" t="s">
        <v>2564</v>
      </c>
    </row>
    <row r="191" spans="1:35" ht="122.4" customHeight="1" thickBot="1" x14ac:dyDescent="0.45">
      <c r="A191" s="344"/>
      <c r="B191" s="1206" t="s">
        <v>658</v>
      </c>
      <c r="C191" s="1228" t="s">
        <v>659</v>
      </c>
      <c r="D191" s="702" t="s">
        <v>620</v>
      </c>
      <c r="E191" s="352">
        <v>0.25</v>
      </c>
      <c r="F191" s="353">
        <v>65000</v>
      </c>
      <c r="G191" s="372">
        <v>10000</v>
      </c>
      <c r="H191" s="373">
        <v>17000</v>
      </c>
      <c r="I191" s="422">
        <f>+G191/F191</f>
        <v>0.15384615384615385</v>
      </c>
      <c r="J191" s="423">
        <f t="shared" si="71"/>
        <v>0.26153846153846155</v>
      </c>
      <c r="K191" s="423">
        <f>+(G191/F191)*E191</f>
        <v>3.8461538461538464E-2</v>
      </c>
      <c r="L191" s="423">
        <f t="shared" si="69"/>
        <v>6.5384615384615388E-2</v>
      </c>
      <c r="M191" s="413">
        <v>32637</v>
      </c>
      <c r="N191" s="587">
        <v>493</v>
      </c>
      <c r="O191" s="587">
        <f>17493-N191</f>
        <v>17000</v>
      </c>
      <c r="P191" s="587">
        <v>0</v>
      </c>
      <c r="Q191" s="587">
        <v>14418</v>
      </c>
      <c r="R191" s="587">
        <v>0</v>
      </c>
      <c r="S191" s="373">
        <f>+N191+O191+P191+Q191+R191</f>
        <v>31911</v>
      </c>
      <c r="T191" s="413">
        <f>+S191+M191</f>
        <v>64548</v>
      </c>
      <c r="U191" s="410">
        <v>1</v>
      </c>
      <c r="V191" s="361">
        <v>1</v>
      </c>
      <c r="W191" s="361">
        <f>+U191*E191</f>
        <v>0.25</v>
      </c>
      <c r="X191" s="361">
        <f>+V191*E191</f>
        <v>0.25</v>
      </c>
      <c r="Y191" s="361">
        <f>+M191/F191</f>
        <v>0.50210769230769225</v>
      </c>
      <c r="Z191" s="361">
        <f>+T191/F191</f>
        <v>0.9930461538461538</v>
      </c>
      <c r="AA191" s="361">
        <f>+Y191*E191</f>
        <v>0.12552692307692306</v>
      </c>
      <c r="AB191" s="361">
        <f>+Z191*E191</f>
        <v>0.24826153846153845</v>
      </c>
      <c r="AC191" s="648" t="s">
        <v>1850</v>
      </c>
      <c r="AD191" s="1091" t="s">
        <v>1961</v>
      </c>
      <c r="AE191" s="350"/>
      <c r="AF191" s="650" t="s">
        <v>1591</v>
      </c>
      <c r="AG191" s="677" t="s">
        <v>2412</v>
      </c>
      <c r="AH191" s="677" t="s">
        <v>2447</v>
      </c>
      <c r="AI191" s="677" t="s">
        <v>2564</v>
      </c>
    </row>
    <row r="192" spans="1:35" ht="122.4" customHeight="1" thickBot="1" x14ac:dyDescent="0.55000000000000004">
      <c r="A192" s="344"/>
      <c r="B192" s="1313" t="s">
        <v>1679</v>
      </c>
      <c r="C192" s="1309"/>
      <c r="D192" s="710"/>
      <c r="E192" s="386">
        <v>0.15</v>
      </c>
      <c r="F192" s="387">
        <f>+E192*W192</f>
        <v>0.10303125</v>
      </c>
      <c r="G192" s="372"/>
      <c r="H192" s="346">
        <f>+E192*X192</f>
        <v>0.12821874999999999</v>
      </c>
      <c r="I192" s="424">
        <f>+(I193+I198+I203)/3</f>
        <v>0.23789691874878258</v>
      </c>
      <c r="J192" s="425">
        <f>+(J193+J198+J203)/3</f>
        <v>0.31958568748605082</v>
      </c>
      <c r="K192" s="347">
        <f>+(K193+K198+K203)/3</f>
        <v>0.18171330652877268</v>
      </c>
      <c r="L192" s="347">
        <f>+(L193+L198+L203)/3</f>
        <v>0.28480466761010298</v>
      </c>
      <c r="M192" s="575"/>
      <c r="N192" s="426"/>
      <c r="O192" s="426"/>
      <c r="P192" s="426"/>
      <c r="Q192" s="426"/>
      <c r="R192" s="426"/>
      <c r="S192" s="426"/>
      <c r="T192" s="426"/>
      <c r="U192" s="404">
        <f>+(U193+U198+U203)/3</f>
        <v>0.94739583333333333</v>
      </c>
      <c r="V192" s="348">
        <f>+(V193+V198+V203)/3</f>
        <v>0.97274305555555551</v>
      </c>
      <c r="W192" s="347">
        <f>W193+W198+W203</f>
        <v>0.68687500000000001</v>
      </c>
      <c r="X192" s="347">
        <f>X193+X198+X203</f>
        <v>0.85479166666666662</v>
      </c>
      <c r="Y192" s="348">
        <f>(Y193+Y198+Y203)/3</f>
        <v>0.33997892066194169</v>
      </c>
      <c r="Z192" s="348">
        <f>(Z193+Z198+Z203)/3</f>
        <v>0.70093698469337029</v>
      </c>
      <c r="AA192" s="347">
        <f>(AA193+AA198+AA203)</f>
        <v>0.24110540532107533</v>
      </c>
      <c r="AB192" s="347">
        <f>(AB193*E193)+(AB198*E198)+(AB203*E203)</f>
        <v>0.7250078734798705</v>
      </c>
      <c r="AC192" s="1080"/>
      <c r="AD192" s="350"/>
      <c r="AE192" s="350"/>
      <c r="AF192" s="350"/>
      <c r="AG192" s="350"/>
      <c r="AH192" s="1088"/>
      <c r="AI192" s="1085"/>
    </row>
    <row r="193" spans="1:35" ht="122.4" customHeight="1" thickBot="1" x14ac:dyDescent="0.55000000000000004">
      <c r="A193" s="344"/>
      <c r="B193" s="1308" t="s">
        <v>1680</v>
      </c>
      <c r="C193" s="1310"/>
      <c r="D193" s="693"/>
      <c r="E193" s="349">
        <v>0.5</v>
      </c>
      <c r="F193" s="353"/>
      <c r="G193" s="372"/>
      <c r="H193" s="373"/>
      <c r="I193" s="427">
        <f>+AVERAGE(I194:I197)</f>
        <v>0.23879427591508487</v>
      </c>
      <c r="J193" s="351">
        <f>+AVERAGE(J194:J197)</f>
        <v>0.33623578341513416</v>
      </c>
      <c r="K193" s="351">
        <f>+K194+K195+K196+K197</f>
        <v>0.11410989888238424</v>
      </c>
      <c r="L193" s="351">
        <f>+L194+L195+L196+L197</f>
        <v>0.33924147004908045</v>
      </c>
      <c r="M193" s="413"/>
      <c r="N193" s="428"/>
      <c r="O193" s="428"/>
      <c r="P193" s="428"/>
      <c r="Q193" s="428"/>
      <c r="R193" s="428"/>
      <c r="S193" s="428"/>
      <c r="T193" s="428"/>
      <c r="U193" s="582">
        <f>+AVERAGE(U194:U197)</f>
        <v>1</v>
      </c>
      <c r="V193" s="392">
        <f>+AVERAGE(V194:V197)</f>
        <v>1</v>
      </c>
      <c r="W193" s="392">
        <f>+(W194+W195+W196+W197)*E193</f>
        <v>0.25</v>
      </c>
      <c r="X193" s="392">
        <f>+(X194+X195+X196+X197)*E193</f>
        <v>0.42499999999999999</v>
      </c>
      <c r="Y193" s="351">
        <f>+AVERAGE(Y194:Y197)</f>
        <v>0.33240983608865465</v>
      </c>
      <c r="Z193" s="351">
        <f>+AVERAGE(Z194:Z197)</f>
        <v>0.67886083762048366</v>
      </c>
      <c r="AA193" s="351">
        <f>+(AA194+AA195+AA196+AA197)*E193</f>
        <v>8.0094974636120198E-2</v>
      </c>
      <c r="AB193" s="351">
        <f>+(AB194+AB195+AB196+AB197)</f>
        <v>0.78121367009638698</v>
      </c>
      <c r="AC193" s="764"/>
      <c r="AD193" s="350"/>
      <c r="AE193" s="350"/>
      <c r="AF193" s="350"/>
      <c r="AG193" s="350"/>
      <c r="AH193" s="1088"/>
      <c r="AI193" s="1085"/>
    </row>
    <row r="194" spans="1:35" ht="122.4" customHeight="1" thickBot="1" x14ac:dyDescent="0.45">
      <c r="A194" s="344"/>
      <c r="B194" s="1206" t="s">
        <v>660</v>
      </c>
      <c r="C194" s="1195" t="s">
        <v>661</v>
      </c>
      <c r="D194" s="394" t="s">
        <v>662</v>
      </c>
      <c r="E194" s="352">
        <v>0.15</v>
      </c>
      <c r="F194" s="353">
        <v>2800</v>
      </c>
      <c r="G194" s="372">
        <v>700</v>
      </c>
      <c r="H194" s="373">
        <v>700</v>
      </c>
      <c r="I194" s="422">
        <f>+G194/F194</f>
        <v>0.25</v>
      </c>
      <c r="J194" s="423">
        <f t="shared" ref="J194:J196" si="74">+H194/F194</f>
        <v>0.25</v>
      </c>
      <c r="K194" s="423">
        <f>+(G194/F194)*E194</f>
        <v>3.7499999999999999E-2</v>
      </c>
      <c r="L194" s="423">
        <f t="shared" ref="L194:L196" si="75">+(H194/F194)*E194</f>
        <v>3.7499999999999999E-2</v>
      </c>
      <c r="M194" s="429">
        <v>1265</v>
      </c>
      <c r="N194" s="590">
        <v>261</v>
      </c>
      <c r="O194" s="590">
        <v>0</v>
      </c>
      <c r="P194" s="590">
        <v>300</v>
      </c>
      <c r="Q194" s="590">
        <v>239</v>
      </c>
      <c r="R194" s="590">
        <v>0</v>
      </c>
      <c r="S194" s="429">
        <f t="shared" ref="S194:S205" si="76">+N194+O194+P194+Q194+R194</f>
        <v>800</v>
      </c>
      <c r="T194" s="429">
        <f>+S194+M194</f>
        <v>2065</v>
      </c>
      <c r="U194" s="410">
        <v>1</v>
      </c>
      <c r="V194" s="361">
        <v>1</v>
      </c>
      <c r="W194" s="361">
        <f>+U194*E194</f>
        <v>0.15</v>
      </c>
      <c r="X194" s="361">
        <f>+V194*E194</f>
        <v>0.15</v>
      </c>
      <c r="Y194" s="361">
        <f>+M194/F194</f>
        <v>0.45178571428571429</v>
      </c>
      <c r="Z194" s="361">
        <f>+T194/F194</f>
        <v>0.73750000000000004</v>
      </c>
      <c r="AA194" s="361">
        <f>+Y194*E194</f>
        <v>6.7767857142857144E-2</v>
      </c>
      <c r="AB194" s="361">
        <f>+Z194*E194</f>
        <v>0.110625</v>
      </c>
      <c r="AC194" s="648" t="s">
        <v>1850</v>
      </c>
      <c r="AD194" s="650" t="s">
        <v>1902</v>
      </c>
      <c r="AE194" s="650" t="s">
        <v>2272</v>
      </c>
      <c r="AF194" s="650" t="s">
        <v>2295</v>
      </c>
      <c r="AG194" s="677" t="s">
        <v>2412</v>
      </c>
      <c r="AH194" s="677" t="s">
        <v>2447</v>
      </c>
      <c r="AI194" s="677" t="s">
        <v>2564</v>
      </c>
    </row>
    <row r="195" spans="1:35" ht="152.4" customHeight="1" thickBot="1" x14ac:dyDescent="0.45">
      <c r="A195" s="344"/>
      <c r="B195" s="1206" t="s">
        <v>663</v>
      </c>
      <c r="C195" s="1195" t="s">
        <v>664</v>
      </c>
      <c r="D195" s="394" t="s">
        <v>662</v>
      </c>
      <c r="E195" s="352">
        <v>0.2</v>
      </c>
      <c r="F195" s="353">
        <v>33822</v>
      </c>
      <c r="G195" s="372">
        <v>4500</v>
      </c>
      <c r="H195" s="373">
        <v>8750</v>
      </c>
      <c r="I195" s="422">
        <f>+G195/F195</f>
        <v>0.13304949441192124</v>
      </c>
      <c r="J195" s="423">
        <f t="shared" si="74"/>
        <v>0.25870735024540242</v>
      </c>
      <c r="K195" s="423">
        <f>+(G195/F195)*E195</f>
        <v>2.6609898882384249E-2</v>
      </c>
      <c r="L195" s="423">
        <f t="shared" si="75"/>
        <v>5.1741470049080487E-2</v>
      </c>
      <c r="M195" s="429">
        <v>7174</v>
      </c>
      <c r="N195" s="590">
        <v>599</v>
      </c>
      <c r="O195" s="590">
        <v>2886</v>
      </c>
      <c r="P195" s="590">
        <v>3267</v>
      </c>
      <c r="Q195" s="590">
        <v>2204</v>
      </c>
      <c r="R195" s="590">
        <v>35</v>
      </c>
      <c r="S195" s="429">
        <f t="shared" si="76"/>
        <v>8991</v>
      </c>
      <c r="T195" s="429">
        <f>+S195+M195</f>
        <v>16165</v>
      </c>
      <c r="U195" s="410">
        <v>1</v>
      </c>
      <c r="V195" s="361">
        <v>1</v>
      </c>
      <c r="W195" s="361">
        <f>+U195*E195</f>
        <v>0.2</v>
      </c>
      <c r="X195" s="361">
        <f>+V195*E195</f>
        <v>0.2</v>
      </c>
      <c r="Y195" s="361">
        <f>+M195/F195</f>
        <v>0.21211046064691622</v>
      </c>
      <c r="Z195" s="361">
        <f>+T195/F195</f>
        <v>0.47794335048193481</v>
      </c>
      <c r="AA195" s="361">
        <f>+Y195*E195</f>
        <v>4.2422092129383249E-2</v>
      </c>
      <c r="AB195" s="361">
        <f>+Z195*E195</f>
        <v>9.5588670096386968E-2</v>
      </c>
      <c r="AC195" s="648" t="s">
        <v>1850</v>
      </c>
      <c r="AD195" s="650" t="s">
        <v>1902</v>
      </c>
      <c r="AE195" s="650" t="s">
        <v>2272</v>
      </c>
      <c r="AF195" s="650" t="s">
        <v>2295</v>
      </c>
      <c r="AG195" s="677" t="s">
        <v>2412</v>
      </c>
      <c r="AH195" s="677" t="s">
        <v>2447</v>
      </c>
      <c r="AI195" s="677" t="s">
        <v>2564</v>
      </c>
    </row>
    <row r="196" spans="1:35" ht="122.4" customHeight="1" thickBot="1" x14ac:dyDescent="0.45">
      <c r="A196" s="344"/>
      <c r="B196" s="1206" t="s">
        <v>665</v>
      </c>
      <c r="C196" s="1195" t="s">
        <v>666</v>
      </c>
      <c r="D196" s="394" t="s">
        <v>662</v>
      </c>
      <c r="E196" s="352">
        <v>0.5</v>
      </c>
      <c r="F196" s="353">
        <v>2</v>
      </c>
      <c r="G196" s="372">
        <v>0</v>
      </c>
      <c r="H196" s="373">
        <v>1</v>
      </c>
      <c r="I196" s="422"/>
      <c r="J196" s="423">
        <f t="shared" si="74"/>
        <v>0.5</v>
      </c>
      <c r="K196" s="423"/>
      <c r="L196" s="423">
        <f t="shared" si="75"/>
        <v>0.25</v>
      </c>
      <c r="M196" s="413"/>
      <c r="N196" s="587">
        <v>0</v>
      </c>
      <c r="O196" s="587">
        <v>1</v>
      </c>
      <c r="P196" s="587">
        <v>0</v>
      </c>
      <c r="Q196" s="587">
        <v>0.5</v>
      </c>
      <c r="R196" s="587">
        <v>0.5</v>
      </c>
      <c r="S196" s="413">
        <f t="shared" si="76"/>
        <v>2</v>
      </c>
      <c r="T196" s="413">
        <f>+S196+M196</f>
        <v>2</v>
      </c>
      <c r="U196" s="410"/>
      <c r="V196" s="361">
        <v>1</v>
      </c>
      <c r="W196" s="361"/>
      <c r="X196" s="361">
        <f>+V196*E196</f>
        <v>0.5</v>
      </c>
      <c r="Y196" s="361"/>
      <c r="Z196" s="361">
        <f>+T196/F196</f>
        <v>1</v>
      </c>
      <c r="AA196" s="361">
        <v>0</v>
      </c>
      <c r="AB196" s="361">
        <f>+Z196*E196</f>
        <v>0.5</v>
      </c>
      <c r="AC196" s="648" t="s">
        <v>1850</v>
      </c>
      <c r="AD196" s="719" t="s">
        <v>1920</v>
      </c>
      <c r="AE196" s="650" t="s">
        <v>2272</v>
      </c>
      <c r="AF196" s="650" t="s">
        <v>2295</v>
      </c>
      <c r="AG196" s="677" t="s">
        <v>2412</v>
      </c>
      <c r="AH196" s="677" t="s">
        <v>2447</v>
      </c>
      <c r="AI196" s="677" t="s">
        <v>2563</v>
      </c>
    </row>
    <row r="197" spans="1:35" ht="122.4" customHeight="1" thickBot="1" x14ac:dyDescent="0.45">
      <c r="A197" s="344"/>
      <c r="B197" s="1206" t="s">
        <v>667</v>
      </c>
      <c r="C197" s="1195" t="s">
        <v>668</v>
      </c>
      <c r="D197" s="394" t="s">
        <v>662</v>
      </c>
      <c r="E197" s="352">
        <v>0.15</v>
      </c>
      <c r="F197" s="353">
        <v>3</v>
      </c>
      <c r="G197" s="372">
        <v>1</v>
      </c>
      <c r="H197" s="373">
        <v>0</v>
      </c>
      <c r="I197" s="422">
        <f>+G197/F197</f>
        <v>0.33333333333333331</v>
      </c>
      <c r="J197" s="423"/>
      <c r="K197" s="423">
        <f>+(G197/F197)*E197</f>
        <v>4.9999999999999996E-2</v>
      </c>
      <c r="L197" s="423"/>
      <c r="M197" s="413">
        <v>1</v>
      </c>
      <c r="N197" s="587">
        <v>0.1</v>
      </c>
      <c r="O197" s="587">
        <v>0</v>
      </c>
      <c r="P197" s="587">
        <v>0</v>
      </c>
      <c r="Q197" s="587">
        <v>0.4</v>
      </c>
      <c r="R197" s="587">
        <v>0</v>
      </c>
      <c r="S197" s="413">
        <f t="shared" si="76"/>
        <v>0.5</v>
      </c>
      <c r="T197" s="413">
        <f>+S197+M197</f>
        <v>1.5</v>
      </c>
      <c r="U197" s="410">
        <f>+(M197/G197)</f>
        <v>1</v>
      </c>
      <c r="V197" s="361"/>
      <c r="W197" s="361">
        <f>+U197*E197</f>
        <v>0.15</v>
      </c>
      <c r="X197" s="361"/>
      <c r="Y197" s="361">
        <f>+M197/F197</f>
        <v>0.33333333333333331</v>
      </c>
      <c r="Z197" s="361">
        <f>+T197/F197</f>
        <v>0.5</v>
      </c>
      <c r="AA197" s="361">
        <f>+Y197*E197</f>
        <v>4.9999999999999996E-2</v>
      </c>
      <c r="AB197" s="361">
        <f>+Z197*E197</f>
        <v>7.4999999999999997E-2</v>
      </c>
      <c r="AC197" s="648" t="s">
        <v>1850</v>
      </c>
      <c r="AD197" s="650" t="s">
        <v>1902</v>
      </c>
      <c r="AE197" s="650" t="s">
        <v>2272</v>
      </c>
      <c r="AF197" s="650" t="s">
        <v>2295</v>
      </c>
      <c r="AG197" s="677" t="s">
        <v>2412</v>
      </c>
      <c r="AH197" s="677" t="s">
        <v>2447</v>
      </c>
      <c r="AI197" s="677" t="s">
        <v>2564</v>
      </c>
    </row>
    <row r="198" spans="1:35" ht="122.4" customHeight="1" thickBot="1" x14ac:dyDescent="0.55000000000000004">
      <c r="A198" s="344"/>
      <c r="B198" s="1308" t="s">
        <v>1681</v>
      </c>
      <c r="C198" s="1310"/>
      <c r="D198" s="394"/>
      <c r="E198" s="349">
        <v>0.25</v>
      </c>
      <c r="F198" s="353"/>
      <c r="G198" s="372"/>
      <c r="H198" s="373"/>
      <c r="I198" s="427">
        <f>+AVERAGE(I199:I202)</f>
        <v>0.31944444444444442</v>
      </c>
      <c r="J198" s="351">
        <f>+AVERAGE(J199:J202)</f>
        <v>0.34074074074074073</v>
      </c>
      <c r="K198" s="437">
        <f>+K199+K200+K201+K202</f>
        <v>0.27361111111111114</v>
      </c>
      <c r="L198" s="437">
        <f>+L199+L200+L201+L202</f>
        <v>0.2338888888888889</v>
      </c>
      <c r="M198" s="373"/>
      <c r="N198" s="407"/>
      <c r="O198" s="407"/>
      <c r="P198" s="407"/>
      <c r="Q198" s="407"/>
      <c r="R198" s="1180"/>
      <c r="S198" s="407"/>
      <c r="T198" s="407"/>
      <c r="U198" s="582">
        <f>+AVERAGE(U199:U202)</f>
        <v>0.84218749999999998</v>
      </c>
      <c r="V198" s="392">
        <f>+AVERAGE(V199:V202)</f>
        <v>0.91822916666666665</v>
      </c>
      <c r="W198" s="392">
        <f>+(W199+W200+W201+W202)*E198</f>
        <v>0.18687500000000004</v>
      </c>
      <c r="X198" s="392">
        <f>+(X199+X200+X201+X202)*E198</f>
        <v>0.17979166666666668</v>
      </c>
      <c r="Y198" s="351">
        <f>+AVERAGE(Y199:Y202)</f>
        <v>0.25733506944444445</v>
      </c>
      <c r="Z198" s="351">
        <f>+AVERAGE(Z199:Z202)</f>
        <v>0.57819097222222227</v>
      </c>
      <c r="AA198" s="351">
        <f>+(AA199+AA200+AA201+AA202)*E198</f>
        <v>5.0629340277777775E-2</v>
      </c>
      <c r="AB198" s="351">
        <f>+(AB199+AB200+AB201+AB202)</f>
        <v>0.46282430555555554</v>
      </c>
      <c r="AC198" s="764"/>
      <c r="AD198" s="350"/>
      <c r="AE198" s="350"/>
      <c r="AF198" s="350"/>
      <c r="AG198" s="350"/>
      <c r="AH198" s="1088"/>
      <c r="AI198" s="1085"/>
    </row>
    <row r="199" spans="1:35" ht="122.4" customHeight="1" thickBot="1" x14ac:dyDescent="0.45">
      <c r="A199" s="344"/>
      <c r="B199" s="1206" t="s">
        <v>669</v>
      </c>
      <c r="C199" s="1195" t="s">
        <v>670</v>
      </c>
      <c r="D199" s="394" t="s">
        <v>662</v>
      </c>
      <c r="E199" s="352">
        <v>0.4</v>
      </c>
      <c r="F199" s="353">
        <v>36000</v>
      </c>
      <c r="G199" s="430">
        <v>10000</v>
      </c>
      <c r="H199" s="413">
        <v>9800</v>
      </c>
      <c r="I199" s="362">
        <f>+G199/F199</f>
        <v>0.27777777777777779</v>
      </c>
      <c r="J199" s="431">
        <f t="shared" ref="J199:J201" si="77">+H199/F199</f>
        <v>0.2722222222222222</v>
      </c>
      <c r="K199" s="584">
        <f>+(G199/F199)*E199</f>
        <v>0.11111111111111112</v>
      </c>
      <c r="L199" s="423">
        <f t="shared" ref="L199:L201" si="78">+(H199/F199)*E199</f>
        <v>0.10888888888888888</v>
      </c>
      <c r="M199" s="413">
        <v>10810</v>
      </c>
      <c r="N199" s="587">
        <v>1263</v>
      </c>
      <c r="O199" s="587">
        <v>3098</v>
      </c>
      <c r="P199" s="587">
        <v>3892</v>
      </c>
      <c r="Q199" s="587">
        <v>2180</v>
      </c>
      <c r="R199" s="587">
        <v>473</v>
      </c>
      <c r="S199" s="413">
        <f t="shared" si="76"/>
        <v>10906</v>
      </c>
      <c r="T199" s="413">
        <f>+S199+M199</f>
        <v>21716</v>
      </c>
      <c r="U199" s="410">
        <v>1</v>
      </c>
      <c r="V199" s="361">
        <v>1</v>
      </c>
      <c r="W199" s="361">
        <f>+U199*E199</f>
        <v>0.4</v>
      </c>
      <c r="X199" s="361">
        <f>+V199*E199</f>
        <v>0.4</v>
      </c>
      <c r="Y199" s="361">
        <f>+M199/F199</f>
        <v>0.30027777777777775</v>
      </c>
      <c r="Z199" s="361">
        <f>+T199/F199</f>
        <v>0.60322222222222222</v>
      </c>
      <c r="AA199" s="361">
        <f>+Y199*E199</f>
        <v>0.12011111111111111</v>
      </c>
      <c r="AB199" s="361">
        <f>+Z199*E199</f>
        <v>0.24128888888888889</v>
      </c>
      <c r="AC199" s="648" t="s">
        <v>1850</v>
      </c>
      <c r="AD199" s="650" t="s">
        <v>1902</v>
      </c>
      <c r="AE199" s="650" t="s">
        <v>2272</v>
      </c>
      <c r="AF199" s="650" t="s">
        <v>2295</v>
      </c>
      <c r="AG199" s="677" t="s">
        <v>2412</v>
      </c>
      <c r="AH199" s="677" t="s">
        <v>2447</v>
      </c>
      <c r="AI199" s="677" t="s">
        <v>2564</v>
      </c>
    </row>
    <row r="200" spans="1:35" ht="122.4" customHeight="1" thickBot="1" x14ac:dyDescent="0.45">
      <c r="A200" s="344"/>
      <c r="B200" s="1206" t="s">
        <v>671</v>
      </c>
      <c r="C200" s="1195" t="s">
        <v>672</v>
      </c>
      <c r="D200" s="394" t="s">
        <v>662</v>
      </c>
      <c r="E200" s="352">
        <v>0.4</v>
      </c>
      <c r="F200" s="353">
        <f>480*4</f>
        <v>1920</v>
      </c>
      <c r="G200" s="430">
        <v>480</v>
      </c>
      <c r="H200" s="413">
        <v>480</v>
      </c>
      <c r="I200" s="362">
        <f>+G200/F200</f>
        <v>0.25</v>
      </c>
      <c r="J200" s="362">
        <f t="shared" si="77"/>
        <v>0.25</v>
      </c>
      <c r="K200" s="411">
        <f>+(G200/F200)*E200</f>
        <v>0.1</v>
      </c>
      <c r="L200" s="423">
        <f t="shared" si="78"/>
        <v>0.1</v>
      </c>
      <c r="M200" s="413">
        <v>177</v>
      </c>
      <c r="N200" s="587">
        <v>16</v>
      </c>
      <c r="O200" s="587">
        <v>64</v>
      </c>
      <c r="P200" s="587">
        <v>110</v>
      </c>
      <c r="Q200" s="587">
        <v>126</v>
      </c>
      <c r="R200" s="587">
        <v>7</v>
      </c>
      <c r="S200" s="413">
        <f t="shared" si="76"/>
        <v>323</v>
      </c>
      <c r="T200" s="413">
        <f>+S200+M200</f>
        <v>500</v>
      </c>
      <c r="U200" s="410">
        <f>+(M200/G200)</f>
        <v>0.36875000000000002</v>
      </c>
      <c r="V200" s="361">
        <f>+S200/H200</f>
        <v>0.67291666666666672</v>
      </c>
      <c r="W200" s="361">
        <f>+U200*E200</f>
        <v>0.14750000000000002</v>
      </c>
      <c r="X200" s="361">
        <f>+V200*E200</f>
        <v>0.26916666666666672</v>
      </c>
      <c r="Y200" s="361">
        <f>+M200/F200</f>
        <v>9.2187500000000006E-2</v>
      </c>
      <c r="Z200" s="361">
        <f>+T200/F200</f>
        <v>0.26041666666666669</v>
      </c>
      <c r="AA200" s="361">
        <f>+Y200*E200</f>
        <v>3.6875000000000005E-2</v>
      </c>
      <c r="AB200" s="361">
        <f>+Z200*E200</f>
        <v>0.10416666666666669</v>
      </c>
      <c r="AC200" s="648" t="s">
        <v>1850</v>
      </c>
      <c r="AD200" s="650" t="s">
        <v>1902</v>
      </c>
      <c r="AE200" s="650" t="s">
        <v>2272</v>
      </c>
      <c r="AF200" s="650" t="s">
        <v>2295</v>
      </c>
      <c r="AG200" s="677" t="s">
        <v>2412</v>
      </c>
      <c r="AH200" s="677" t="s">
        <v>2447</v>
      </c>
      <c r="AI200" s="677" t="s">
        <v>2564</v>
      </c>
    </row>
    <row r="201" spans="1:35" ht="122.4" customHeight="1" thickBot="1" x14ac:dyDescent="0.45">
      <c r="A201" s="344"/>
      <c r="B201" s="928" t="s">
        <v>673</v>
      </c>
      <c r="C201" s="459" t="s">
        <v>674</v>
      </c>
      <c r="D201" s="394" t="s">
        <v>662</v>
      </c>
      <c r="E201" s="352">
        <v>0.05</v>
      </c>
      <c r="F201" s="353">
        <v>1</v>
      </c>
      <c r="G201" s="430">
        <v>0.5</v>
      </c>
      <c r="H201" s="413">
        <v>0.5</v>
      </c>
      <c r="I201" s="362">
        <f>+G201/F201</f>
        <v>0.5</v>
      </c>
      <c r="J201" s="362">
        <f t="shared" si="77"/>
        <v>0.5</v>
      </c>
      <c r="K201" s="411">
        <f>+(G201/F201)*E201</f>
        <v>2.5000000000000001E-2</v>
      </c>
      <c r="L201" s="423">
        <f t="shared" si="78"/>
        <v>2.5000000000000001E-2</v>
      </c>
      <c r="M201" s="413">
        <v>0.5</v>
      </c>
      <c r="N201" s="587">
        <v>0</v>
      </c>
      <c r="O201" s="587">
        <v>0</v>
      </c>
      <c r="P201" s="587">
        <v>0.5</v>
      </c>
      <c r="Q201" s="587">
        <v>0</v>
      </c>
      <c r="R201" s="587"/>
      <c r="S201" s="413">
        <f t="shared" si="76"/>
        <v>0.5</v>
      </c>
      <c r="T201" s="413">
        <f>+S201+M201</f>
        <v>1</v>
      </c>
      <c r="U201" s="410">
        <f>+(M201/G201)</f>
        <v>1</v>
      </c>
      <c r="V201" s="361">
        <f>+S201/H201</f>
        <v>1</v>
      </c>
      <c r="W201" s="361">
        <f>+U201*E201</f>
        <v>0.05</v>
      </c>
      <c r="X201" s="361">
        <f>+V201*E201</f>
        <v>0.05</v>
      </c>
      <c r="Y201" s="361">
        <f>+M201/F201</f>
        <v>0.5</v>
      </c>
      <c r="Z201" s="361">
        <f>+T201/F201</f>
        <v>1</v>
      </c>
      <c r="AA201" s="361">
        <f>+Y201*E201</f>
        <v>2.5000000000000001E-2</v>
      </c>
      <c r="AB201" s="361">
        <f>+Z201*E201</f>
        <v>0.05</v>
      </c>
      <c r="AC201" s="648" t="s">
        <v>1850</v>
      </c>
      <c r="AD201" s="650" t="s">
        <v>1902</v>
      </c>
      <c r="AE201" s="650" t="s">
        <v>2272</v>
      </c>
      <c r="AF201" s="650" t="s">
        <v>2295</v>
      </c>
      <c r="AG201" s="677" t="s">
        <v>2412</v>
      </c>
      <c r="AH201" s="677" t="s">
        <v>2447</v>
      </c>
      <c r="AI201" s="1089" t="s">
        <v>1865</v>
      </c>
    </row>
    <row r="202" spans="1:35" ht="122.4" customHeight="1" thickBot="1" x14ac:dyDescent="0.45">
      <c r="A202" s="344"/>
      <c r="B202" s="928" t="s">
        <v>675</v>
      </c>
      <c r="C202" s="459" t="s">
        <v>676</v>
      </c>
      <c r="D202" s="394" t="s">
        <v>662</v>
      </c>
      <c r="E202" s="352">
        <v>0.15</v>
      </c>
      <c r="F202" s="432">
        <v>8000</v>
      </c>
      <c r="G202" s="430">
        <v>2000</v>
      </c>
      <c r="H202" s="413">
        <v>2000</v>
      </c>
      <c r="I202" s="419">
        <f>+G202/F202</f>
        <v>0.25</v>
      </c>
      <c r="J202" s="419"/>
      <c r="K202" s="421">
        <f>+(G202/F202)*E202</f>
        <v>3.7499999999999999E-2</v>
      </c>
      <c r="L202" s="423"/>
      <c r="M202" s="413">
        <v>1095</v>
      </c>
      <c r="N202" s="587">
        <v>25</v>
      </c>
      <c r="O202" s="587">
        <v>881</v>
      </c>
      <c r="P202" s="587">
        <v>498</v>
      </c>
      <c r="Q202" s="587">
        <v>433</v>
      </c>
      <c r="R202" s="587">
        <f>1094-Q202</f>
        <v>661</v>
      </c>
      <c r="S202" s="413">
        <f>+N202+O202+P202+Q202+R202</f>
        <v>2498</v>
      </c>
      <c r="T202" s="413">
        <f>+S202+M202</f>
        <v>3593</v>
      </c>
      <c r="U202" s="433">
        <v>1</v>
      </c>
      <c r="V202" s="361">
        <v>1</v>
      </c>
      <c r="W202" s="361">
        <f>+U202*E202</f>
        <v>0.15</v>
      </c>
      <c r="X202" s="361"/>
      <c r="Y202" s="361">
        <f>+M202/F202</f>
        <v>0.136875</v>
      </c>
      <c r="Z202" s="361">
        <f>+T202/F202</f>
        <v>0.449125</v>
      </c>
      <c r="AA202" s="361">
        <f>+Y202*E202</f>
        <v>2.0531249999999997E-2</v>
      </c>
      <c r="AB202" s="361">
        <f>+Z202*E202</f>
        <v>6.7368749999999991E-2</v>
      </c>
      <c r="AC202" s="648" t="s">
        <v>1850</v>
      </c>
      <c r="AD202" s="719" t="s">
        <v>1933</v>
      </c>
      <c r="AE202" s="650" t="s">
        <v>2272</v>
      </c>
      <c r="AF202" s="650" t="s">
        <v>2295</v>
      </c>
      <c r="AG202" s="677" t="s">
        <v>2412</v>
      </c>
      <c r="AH202" s="677" t="s">
        <v>2447</v>
      </c>
      <c r="AI202" s="1089" t="s">
        <v>1865</v>
      </c>
    </row>
    <row r="203" spans="1:35" ht="122.4" customHeight="1" thickBot="1" x14ac:dyDescent="0.55000000000000004">
      <c r="A203" s="344"/>
      <c r="B203" s="1308" t="s">
        <v>1682</v>
      </c>
      <c r="C203" s="1310"/>
      <c r="D203" s="394"/>
      <c r="E203" s="434">
        <v>0.25</v>
      </c>
      <c r="F203" s="435"/>
      <c r="G203" s="430"/>
      <c r="H203" s="413"/>
      <c r="I203" s="436">
        <f>+AVERAGE(I204:I205)</f>
        <v>0.1554520358868185</v>
      </c>
      <c r="J203" s="436">
        <f>+AVERAGE(J204:J205)</f>
        <v>0.28178053830227745</v>
      </c>
      <c r="K203" s="351">
        <f>+K204+K205</f>
        <v>0.15741890959282262</v>
      </c>
      <c r="L203" s="351">
        <f>+L204+L205</f>
        <v>0.28128364389233956</v>
      </c>
      <c r="M203" s="373"/>
      <c r="N203" s="407"/>
      <c r="O203" s="407"/>
      <c r="P203" s="407"/>
      <c r="Q203" s="407"/>
      <c r="R203" s="1180"/>
      <c r="S203" s="407"/>
      <c r="T203" s="407"/>
      <c r="U203" s="586">
        <f>+AVERAGE(U204:U206)</f>
        <v>1</v>
      </c>
      <c r="V203" s="392">
        <f>+AVERAGE(V204:V206)</f>
        <v>1</v>
      </c>
      <c r="W203" s="392">
        <f>+(W204+W205)*E203</f>
        <v>0.25</v>
      </c>
      <c r="X203" s="392">
        <f>+(X204+X205)*E203</f>
        <v>0.25</v>
      </c>
      <c r="Y203" s="351">
        <f>+AVERAGE(Y204:Y205)</f>
        <v>0.43019185645272601</v>
      </c>
      <c r="Z203" s="351">
        <f>+AVERAGE(Z204:Z205)</f>
        <v>0.84575914423740506</v>
      </c>
      <c r="AA203" s="351">
        <f>+(AA204+AA205)*E203</f>
        <v>0.11038109040717736</v>
      </c>
      <c r="AB203" s="351">
        <f>+(AB204+AB205)</f>
        <v>0.87477984817115262</v>
      </c>
      <c r="AC203" s="764"/>
      <c r="AD203" s="350"/>
      <c r="AE203" s="350"/>
      <c r="AF203" s="350"/>
      <c r="AG203" s="350"/>
      <c r="AH203" s="1088"/>
      <c r="AI203" s="1085"/>
    </row>
    <row r="204" spans="1:35" ht="122.4" customHeight="1" thickBot="1" x14ac:dyDescent="0.45">
      <c r="A204" s="344"/>
      <c r="B204" s="1206" t="s">
        <v>677</v>
      </c>
      <c r="C204" s="1195" t="s">
        <v>678</v>
      </c>
      <c r="D204" s="394" t="s">
        <v>662</v>
      </c>
      <c r="E204" s="352">
        <v>0.8</v>
      </c>
      <c r="F204" s="435">
        <v>63000</v>
      </c>
      <c r="G204" s="430">
        <v>10000</v>
      </c>
      <c r="H204" s="413">
        <v>17700</v>
      </c>
      <c r="I204" s="438">
        <f>+G204/F204</f>
        <v>0.15873015873015872</v>
      </c>
      <c r="J204" s="438">
        <f t="shared" ref="J204:J205" si="79">+H204/F204</f>
        <v>0.28095238095238095</v>
      </c>
      <c r="K204" s="423">
        <f>+(G204/F204)*E204</f>
        <v>0.12698412698412698</v>
      </c>
      <c r="L204" s="439">
        <f t="shared" ref="L204:L205" si="80">+(H204/F204)*E204</f>
        <v>0.22476190476190477</v>
      </c>
      <c r="M204" s="413">
        <v>28292</v>
      </c>
      <c r="N204" s="587">
        <v>1495</v>
      </c>
      <c r="O204" s="587">
        <v>11116</v>
      </c>
      <c r="P204" s="587">
        <v>4638</v>
      </c>
      <c r="Q204" s="587">
        <v>3739</v>
      </c>
      <c r="R204" s="587">
        <v>7050</v>
      </c>
      <c r="S204" s="413">
        <f t="shared" si="76"/>
        <v>28038</v>
      </c>
      <c r="T204" s="413">
        <f>+S204+M204</f>
        <v>56330</v>
      </c>
      <c r="U204" s="440">
        <v>1</v>
      </c>
      <c r="V204" s="361">
        <v>1</v>
      </c>
      <c r="W204" s="361">
        <f>+U204*E204</f>
        <v>0.8</v>
      </c>
      <c r="X204" s="361">
        <f>+V204*E204</f>
        <v>0.8</v>
      </c>
      <c r="Y204" s="361">
        <f>+M204/F204</f>
        <v>0.44907936507936508</v>
      </c>
      <c r="Z204" s="361">
        <f>+T204/F204</f>
        <v>0.8941269841269841</v>
      </c>
      <c r="AA204" s="361">
        <f>+Y204*E204</f>
        <v>0.35926349206349206</v>
      </c>
      <c r="AB204" s="361">
        <f>+Z204*E204</f>
        <v>0.71530158730158733</v>
      </c>
      <c r="AC204" s="648" t="s">
        <v>1850</v>
      </c>
      <c r="AD204" s="650" t="s">
        <v>1902</v>
      </c>
      <c r="AE204" s="650" t="s">
        <v>2272</v>
      </c>
      <c r="AF204" s="650" t="s">
        <v>2295</v>
      </c>
      <c r="AG204" s="677" t="s">
        <v>2412</v>
      </c>
      <c r="AH204" s="1088"/>
      <c r="AI204" s="677" t="s">
        <v>2564</v>
      </c>
    </row>
    <row r="205" spans="1:35" ht="122.4" customHeight="1" thickBot="1" x14ac:dyDescent="0.45">
      <c r="A205" s="344"/>
      <c r="B205" s="1207" t="s">
        <v>679</v>
      </c>
      <c r="C205" s="1208" t="s">
        <v>680</v>
      </c>
      <c r="D205" s="711" t="s">
        <v>662</v>
      </c>
      <c r="E205" s="352">
        <v>0.2</v>
      </c>
      <c r="F205" s="435">
        <v>2300</v>
      </c>
      <c r="G205" s="430">
        <v>350</v>
      </c>
      <c r="H205" s="413">
        <v>650</v>
      </c>
      <c r="I205" s="438">
        <f>+G205/F205</f>
        <v>0.15217391304347827</v>
      </c>
      <c r="J205" s="438">
        <f t="shared" si="79"/>
        <v>0.28260869565217389</v>
      </c>
      <c r="K205" s="423">
        <f>+(G205/F205)*E205</f>
        <v>3.0434782608695657E-2</v>
      </c>
      <c r="L205" s="439">
        <f t="shared" si="80"/>
        <v>5.6521739130434782E-2</v>
      </c>
      <c r="M205" s="413">
        <v>946</v>
      </c>
      <c r="N205" s="587">
        <v>149</v>
      </c>
      <c r="O205" s="587">
        <v>157</v>
      </c>
      <c r="P205" s="587">
        <v>461</v>
      </c>
      <c r="Q205" s="587">
        <v>29</v>
      </c>
      <c r="R205" s="587">
        <f>62+30</f>
        <v>92</v>
      </c>
      <c r="S205" s="413">
        <f t="shared" si="76"/>
        <v>888</v>
      </c>
      <c r="T205" s="413">
        <f>+S205+M205</f>
        <v>1834</v>
      </c>
      <c r="U205" s="440">
        <v>1</v>
      </c>
      <c r="V205" s="361">
        <v>1</v>
      </c>
      <c r="W205" s="361">
        <f>+U205*E205</f>
        <v>0.2</v>
      </c>
      <c r="X205" s="361">
        <f>+V205*E205</f>
        <v>0.2</v>
      </c>
      <c r="Y205" s="361">
        <f>+M205/F205</f>
        <v>0.41130434782608694</v>
      </c>
      <c r="Z205" s="361">
        <f>+T205/F205</f>
        <v>0.79739130434782612</v>
      </c>
      <c r="AA205" s="361">
        <f>+Y205*E205</f>
        <v>8.2260869565217387E-2</v>
      </c>
      <c r="AB205" s="361">
        <f>+Z205*E205</f>
        <v>0.15947826086956524</v>
      </c>
      <c r="AC205" s="648" t="s">
        <v>1850</v>
      </c>
      <c r="AD205" s="650" t="s">
        <v>1902</v>
      </c>
      <c r="AE205" s="650" t="s">
        <v>2272</v>
      </c>
      <c r="AF205" s="650" t="s">
        <v>2295</v>
      </c>
      <c r="AG205" s="677" t="s">
        <v>2412</v>
      </c>
      <c r="AH205" s="1088"/>
      <c r="AI205" s="677" t="s">
        <v>2564</v>
      </c>
    </row>
    <row r="206" spans="1:35" ht="122.4" customHeight="1" thickBot="1" x14ac:dyDescent="0.45">
      <c r="A206" s="341"/>
      <c r="B206" s="343"/>
      <c r="C206" s="343"/>
      <c r="D206" s="712"/>
      <c r="E206" s="343"/>
      <c r="F206" s="441"/>
      <c r="G206" s="343"/>
      <c r="H206" s="343"/>
      <c r="I206" s="343"/>
      <c r="J206" s="343"/>
      <c r="K206" s="343"/>
      <c r="L206" s="343"/>
      <c r="M206" s="576"/>
      <c r="N206" s="343"/>
      <c r="O206" s="343"/>
      <c r="P206" s="343"/>
      <c r="Q206" s="343"/>
      <c r="R206" s="343"/>
      <c r="S206" s="343"/>
      <c r="T206" s="343"/>
      <c r="U206" s="343"/>
      <c r="V206" s="343"/>
      <c r="W206" s="343"/>
      <c r="X206" s="343"/>
      <c r="Y206" s="343"/>
      <c r="Z206" s="343"/>
      <c r="AA206" s="343"/>
      <c r="AB206" s="343"/>
      <c r="AC206" s="343"/>
      <c r="AD206" s="343"/>
      <c r="AE206" s="343"/>
      <c r="AF206" s="343"/>
      <c r="AG206" s="343"/>
    </row>
    <row r="207" spans="1:35" ht="122.4" customHeight="1" thickBot="1" x14ac:dyDescent="0.45">
      <c r="A207" s="341"/>
      <c r="B207" s="341"/>
      <c r="C207" s="341"/>
      <c r="D207" s="713"/>
      <c r="E207" s="341"/>
      <c r="F207" s="442"/>
      <c r="G207" s="341"/>
      <c r="H207" s="341"/>
      <c r="I207" s="341"/>
      <c r="J207" s="341"/>
      <c r="K207" s="341"/>
      <c r="L207" s="341"/>
      <c r="M207" s="577"/>
      <c r="N207" s="341"/>
      <c r="O207" s="341"/>
      <c r="P207" s="341"/>
      <c r="Q207" s="341"/>
      <c r="R207" s="341"/>
      <c r="S207" s="341"/>
      <c r="T207" s="341"/>
      <c r="U207" s="341"/>
      <c r="V207" s="341"/>
      <c r="W207" s="341"/>
      <c r="X207" s="341"/>
      <c r="Y207" s="341"/>
      <c r="Z207" s="341"/>
      <c r="AA207" s="341"/>
      <c r="AB207" s="341"/>
      <c r="AC207" s="341"/>
      <c r="AD207" s="341"/>
      <c r="AE207" s="341"/>
      <c r="AF207" s="341"/>
      <c r="AG207" s="341"/>
    </row>
    <row r="208" spans="1:35" ht="122.4" customHeight="1" thickBot="1" x14ac:dyDescent="0.45">
      <c r="A208" s="341"/>
      <c r="B208" s="341"/>
      <c r="C208" s="341"/>
      <c r="D208" s="713"/>
      <c r="E208" s="341"/>
      <c r="F208" s="442"/>
      <c r="G208" s="341"/>
      <c r="H208" s="341"/>
      <c r="I208" s="341"/>
      <c r="J208" s="341"/>
      <c r="K208" s="341"/>
      <c r="L208" s="341"/>
      <c r="M208" s="577"/>
      <c r="N208" s="341"/>
      <c r="O208" s="341"/>
      <c r="P208" s="341"/>
      <c r="Q208" s="341"/>
      <c r="R208" s="341"/>
      <c r="S208" s="341"/>
      <c r="T208" s="341"/>
      <c r="U208" s="341"/>
      <c r="V208" s="341"/>
      <c r="W208" s="341"/>
      <c r="X208" s="341"/>
      <c r="Y208" s="341"/>
      <c r="Z208" s="341"/>
      <c r="AA208" s="341"/>
      <c r="AB208" s="341"/>
      <c r="AC208" s="341"/>
      <c r="AD208" s="341"/>
      <c r="AE208" s="341"/>
      <c r="AF208" s="341"/>
      <c r="AG208" s="341"/>
    </row>
    <row r="209" spans="1:33" ht="122.4" customHeight="1" thickBot="1" x14ac:dyDescent="0.45">
      <c r="A209" s="341"/>
      <c r="B209" s="341"/>
      <c r="C209" s="341"/>
      <c r="D209" s="713"/>
      <c r="E209" s="341"/>
      <c r="F209" s="442"/>
      <c r="G209" s="341"/>
      <c r="H209" s="341"/>
      <c r="I209" s="341"/>
      <c r="J209" s="341"/>
      <c r="K209" s="341"/>
      <c r="L209" s="341"/>
      <c r="M209" s="577"/>
      <c r="N209" s="341"/>
      <c r="O209" s="341"/>
      <c r="P209" s="341"/>
      <c r="Q209" s="341"/>
      <c r="R209" s="341"/>
      <c r="S209" s="341"/>
      <c r="T209" s="341"/>
      <c r="U209" s="341"/>
      <c r="V209" s="341"/>
      <c r="W209" s="341"/>
      <c r="X209" s="341"/>
      <c r="Y209" s="341"/>
      <c r="Z209" s="341"/>
      <c r="AA209" s="341"/>
      <c r="AB209" s="341"/>
      <c r="AC209" s="341"/>
      <c r="AD209" s="341"/>
      <c r="AE209" s="341"/>
      <c r="AF209" s="341"/>
      <c r="AG209" s="341"/>
    </row>
    <row r="210" spans="1:33" ht="122.4" customHeight="1" thickBot="1" x14ac:dyDescent="0.45">
      <c r="A210" s="341"/>
      <c r="B210" s="341"/>
      <c r="C210" s="341"/>
      <c r="D210" s="713"/>
      <c r="E210" s="341"/>
      <c r="F210" s="442"/>
      <c r="G210" s="341"/>
      <c r="H210" s="341"/>
      <c r="I210" s="341"/>
      <c r="J210" s="341"/>
      <c r="K210" s="341"/>
      <c r="L210" s="341"/>
      <c r="M210" s="577"/>
      <c r="N210" s="341"/>
      <c r="O210" s="341"/>
      <c r="P210" s="341"/>
      <c r="Q210" s="341"/>
      <c r="R210" s="341"/>
      <c r="S210" s="341"/>
      <c r="T210" s="341"/>
      <c r="U210" s="341"/>
      <c r="V210" s="341"/>
      <c r="W210" s="341"/>
      <c r="X210" s="341"/>
      <c r="Y210" s="341"/>
      <c r="Z210" s="341"/>
      <c r="AA210" s="341"/>
      <c r="AB210" s="341"/>
      <c r="AC210" s="341"/>
      <c r="AD210" s="341"/>
      <c r="AE210" s="341"/>
      <c r="AF210" s="341"/>
      <c r="AG210" s="341"/>
    </row>
    <row r="211" spans="1:33" ht="122.4" customHeight="1" thickBot="1" x14ac:dyDescent="0.45">
      <c r="A211" s="341"/>
      <c r="B211" s="341"/>
      <c r="C211" s="341"/>
      <c r="D211" s="713"/>
      <c r="E211" s="341"/>
      <c r="F211" s="442"/>
      <c r="G211" s="341"/>
      <c r="H211" s="341"/>
      <c r="I211" s="341"/>
      <c r="J211" s="341"/>
      <c r="K211" s="341"/>
      <c r="L211" s="341"/>
      <c r="M211" s="577"/>
      <c r="N211" s="341"/>
      <c r="O211" s="341"/>
      <c r="P211" s="341"/>
      <c r="Q211" s="341"/>
      <c r="R211" s="341"/>
      <c r="S211" s="341"/>
      <c r="T211" s="341"/>
      <c r="U211" s="341"/>
      <c r="V211" s="341"/>
      <c r="W211" s="341"/>
      <c r="X211" s="341"/>
      <c r="Y211" s="341"/>
      <c r="Z211" s="341"/>
      <c r="AA211" s="341"/>
      <c r="AB211" s="341"/>
      <c r="AC211" s="341"/>
      <c r="AD211" s="341"/>
      <c r="AE211" s="341"/>
      <c r="AF211" s="341"/>
      <c r="AG211" s="341"/>
    </row>
    <row r="212" spans="1:33" ht="122.4" customHeight="1" thickBot="1" x14ac:dyDescent="0.45">
      <c r="A212" s="341"/>
      <c r="B212" s="341"/>
      <c r="C212" s="341"/>
      <c r="D212" s="713"/>
      <c r="E212" s="341"/>
      <c r="F212" s="442"/>
      <c r="G212" s="341"/>
      <c r="H212" s="341"/>
      <c r="I212" s="341"/>
      <c r="J212" s="341"/>
      <c r="K212" s="341"/>
      <c r="L212" s="341"/>
      <c r="M212" s="577"/>
      <c r="N212" s="341"/>
      <c r="O212" s="341"/>
      <c r="P212" s="341"/>
      <c r="Q212" s="341"/>
      <c r="R212" s="341"/>
      <c r="S212" s="341"/>
      <c r="T212" s="341"/>
      <c r="U212" s="341"/>
      <c r="V212" s="341"/>
      <c r="W212" s="341"/>
      <c r="X212" s="341"/>
      <c r="Y212" s="341"/>
      <c r="Z212" s="341"/>
      <c r="AA212" s="341"/>
      <c r="AB212" s="341"/>
      <c r="AC212" s="341"/>
      <c r="AD212" s="341"/>
      <c r="AE212" s="341"/>
      <c r="AF212" s="341"/>
      <c r="AG212" s="341"/>
    </row>
    <row r="213" spans="1:33" ht="122.4" customHeight="1" thickBot="1" x14ac:dyDescent="0.45">
      <c r="A213" s="341"/>
      <c r="B213" s="341"/>
      <c r="C213" s="341"/>
      <c r="D213" s="713"/>
      <c r="E213" s="341"/>
      <c r="F213" s="442"/>
      <c r="G213" s="341"/>
      <c r="H213" s="341"/>
      <c r="I213" s="341"/>
      <c r="J213" s="341"/>
      <c r="K213" s="341"/>
      <c r="L213" s="341"/>
      <c r="M213" s="577"/>
      <c r="N213" s="341"/>
      <c r="O213" s="341"/>
      <c r="P213" s="341"/>
      <c r="Q213" s="341"/>
      <c r="R213" s="341"/>
      <c r="S213" s="341"/>
      <c r="T213" s="341"/>
      <c r="U213" s="341"/>
      <c r="V213" s="341"/>
      <c r="W213" s="341"/>
      <c r="X213" s="341"/>
      <c r="Y213" s="341"/>
      <c r="Z213" s="341"/>
      <c r="AA213" s="341"/>
      <c r="AB213" s="341"/>
      <c r="AC213" s="341"/>
      <c r="AD213" s="341"/>
      <c r="AE213" s="341"/>
      <c r="AF213" s="341"/>
      <c r="AG213" s="341"/>
    </row>
    <row r="214" spans="1:33" ht="122.4" customHeight="1" thickBot="1" x14ac:dyDescent="0.45">
      <c r="A214" s="341"/>
      <c r="B214" s="341"/>
      <c r="C214" s="341"/>
      <c r="D214" s="713"/>
      <c r="E214" s="341"/>
      <c r="F214" s="442"/>
      <c r="G214" s="341"/>
      <c r="H214" s="341"/>
      <c r="I214" s="341"/>
      <c r="J214" s="341"/>
      <c r="K214" s="341"/>
      <c r="L214" s="341"/>
      <c r="M214" s="577"/>
      <c r="N214" s="341"/>
      <c r="O214" s="341"/>
      <c r="P214" s="341"/>
      <c r="Q214" s="341"/>
      <c r="R214" s="341"/>
      <c r="S214" s="341"/>
      <c r="T214" s="341"/>
      <c r="U214" s="341"/>
      <c r="V214" s="341"/>
      <c r="W214" s="341"/>
      <c r="X214" s="341"/>
      <c r="Y214" s="341"/>
      <c r="Z214" s="341"/>
      <c r="AA214" s="341"/>
      <c r="AB214" s="341"/>
      <c r="AC214" s="341"/>
      <c r="AD214" s="341"/>
      <c r="AE214" s="341"/>
      <c r="AF214" s="341"/>
      <c r="AG214" s="341"/>
    </row>
    <row r="215" spans="1:33" ht="122.4" customHeight="1" thickBot="1" x14ac:dyDescent="0.45">
      <c r="A215" s="341"/>
      <c r="B215" s="341"/>
      <c r="C215" s="341"/>
      <c r="D215" s="713"/>
      <c r="E215" s="341"/>
      <c r="F215" s="442"/>
      <c r="G215" s="341"/>
      <c r="H215" s="341"/>
      <c r="I215" s="341"/>
      <c r="J215" s="341"/>
      <c r="K215" s="341"/>
      <c r="L215" s="341"/>
      <c r="M215" s="577"/>
      <c r="N215" s="341"/>
      <c r="O215" s="341"/>
      <c r="P215" s="341"/>
      <c r="Q215" s="341"/>
      <c r="R215" s="341"/>
      <c r="S215" s="341"/>
      <c r="T215" s="341"/>
      <c r="U215" s="341"/>
      <c r="V215" s="341"/>
      <c r="W215" s="341"/>
      <c r="X215" s="341"/>
      <c r="Y215" s="341"/>
      <c r="Z215" s="341"/>
      <c r="AA215" s="341"/>
      <c r="AB215" s="341"/>
      <c r="AC215" s="341"/>
      <c r="AD215" s="341"/>
      <c r="AE215" s="341"/>
      <c r="AF215" s="341"/>
      <c r="AG215" s="341"/>
    </row>
    <row r="216" spans="1:33" ht="122.4" customHeight="1" thickBot="1" x14ac:dyDescent="0.45">
      <c r="A216" s="341"/>
      <c r="B216" s="341"/>
      <c r="C216" s="341"/>
      <c r="D216" s="713"/>
      <c r="E216" s="341"/>
      <c r="F216" s="442"/>
      <c r="G216" s="341"/>
      <c r="H216" s="341"/>
      <c r="I216" s="341"/>
      <c r="J216" s="341"/>
      <c r="K216" s="341"/>
      <c r="L216" s="341"/>
      <c r="M216" s="577"/>
      <c r="N216" s="341"/>
      <c r="O216" s="341"/>
      <c r="P216" s="341"/>
      <c r="Q216" s="341"/>
      <c r="R216" s="341"/>
      <c r="S216" s="341"/>
      <c r="T216" s="341"/>
      <c r="U216" s="341"/>
      <c r="V216" s="341"/>
      <c r="W216" s="341"/>
      <c r="X216" s="341"/>
      <c r="Y216" s="341"/>
      <c r="Z216" s="341"/>
      <c r="AA216" s="341"/>
      <c r="AB216" s="341"/>
      <c r="AC216" s="341"/>
      <c r="AD216" s="341"/>
      <c r="AE216" s="341"/>
      <c r="AF216" s="341"/>
      <c r="AG216" s="341"/>
    </row>
    <row r="217" spans="1:33" ht="122.4" customHeight="1" thickBot="1" x14ac:dyDescent="0.45">
      <c r="A217" s="341"/>
      <c r="B217" s="341"/>
      <c r="C217" s="341"/>
      <c r="D217" s="713"/>
      <c r="E217" s="341"/>
      <c r="F217" s="442"/>
      <c r="G217" s="341"/>
      <c r="H217" s="341"/>
      <c r="I217" s="341"/>
      <c r="J217" s="341"/>
      <c r="K217" s="341"/>
      <c r="L217" s="341"/>
      <c r="M217" s="577"/>
      <c r="N217" s="341"/>
      <c r="O217" s="341"/>
      <c r="P217" s="341"/>
      <c r="Q217" s="341"/>
      <c r="R217" s="341"/>
      <c r="S217" s="341"/>
      <c r="T217" s="341"/>
      <c r="U217" s="341"/>
      <c r="V217" s="341"/>
      <c r="W217" s="341"/>
      <c r="X217" s="341"/>
      <c r="Y217" s="341"/>
      <c r="Z217" s="341"/>
      <c r="AA217" s="341"/>
      <c r="AB217" s="341"/>
      <c r="AC217" s="341"/>
      <c r="AD217" s="341"/>
      <c r="AE217" s="341"/>
      <c r="AF217" s="341"/>
      <c r="AG217" s="341"/>
    </row>
    <row r="218" spans="1:33" ht="122.4" customHeight="1" thickBot="1" x14ac:dyDescent="0.45">
      <c r="A218" s="341"/>
      <c r="B218" s="341"/>
      <c r="C218" s="341"/>
      <c r="D218" s="713"/>
      <c r="E218" s="341"/>
      <c r="F218" s="442"/>
      <c r="G218" s="341"/>
      <c r="H218" s="341"/>
      <c r="I218" s="341"/>
      <c r="J218" s="341"/>
      <c r="K218" s="341"/>
      <c r="L218" s="341"/>
      <c r="M218" s="577"/>
      <c r="N218" s="341"/>
      <c r="O218" s="341"/>
      <c r="P218" s="341"/>
      <c r="Q218" s="341"/>
      <c r="R218" s="341"/>
      <c r="S218" s="341"/>
      <c r="T218" s="341"/>
      <c r="U218" s="341"/>
      <c r="V218" s="341"/>
      <c r="W218" s="341"/>
      <c r="X218" s="341"/>
      <c r="Y218" s="341"/>
      <c r="Z218" s="341"/>
      <c r="AA218" s="341"/>
      <c r="AB218" s="341"/>
      <c r="AC218" s="341"/>
      <c r="AD218" s="341"/>
      <c r="AE218" s="341"/>
      <c r="AF218" s="341"/>
      <c r="AG218" s="341"/>
    </row>
    <row r="219" spans="1:33" ht="122.4" customHeight="1" thickBot="1" x14ac:dyDescent="0.45">
      <c r="A219" s="341"/>
      <c r="B219" s="341"/>
      <c r="C219" s="341"/>
      <c r="D219" s="713"/>
      <c r="E219" s="341"/>
      <c r="F219" s="442"/>
      <c r="G219" s="341"/>
      <c r="H219" s="341"/>
      <c r="I219" s="341"/>
      <c r="J219" s="341"/>
      <c r="K219" s="341"/>
      <c r="L219" s="341"/>
      <c r="M219" s="577"/>
      <c r="N219" s="341"/>
      <c r="O219" s="341"/>
      <c r="P219" s="341"/>
      <c r="Q219" s="341"/>
      <c r="R219" s="341"/>
      <c r="S219" s="341"/>
      <c r="T219" s="341"/>
      <c r="U219" s="341"/>
      <c r="V219" s="341"/>
      <c r="W219" s="341"/>
      <c r="X219" s="341"/>
      <c r="Y219" s="341"/>
      <c r="Z219" s="341"/>
      <c r="AA219" s="341"/>
      <c r="AB219" s="341"/>
      <c r="AC219" s="341"/>
      <c r="AD219" s="341"/>
      <c r="AE219" s="341"/>
      <c r="AF219" s="341"/>
      <c r="AG219" s="341"/>
    </row>
    <row r="220" spans="1:33" ht="122.4" customHeight="1" thickBot="1" x14ac:dyDescent="0.45">
      <c r="A220" s="341"/>
      <c r="B220" s="341"/>
      <c r="C220" s="341"/>
      <c r="D220" s="713"/>
      <c r="E220" s="341"/>
      <c r="F220" s="442"/>
      <c r="G220" s="341"/>
      <c r="H220" s="341"/>
      <c r="I220" s="341"/>
      <c r="J220" s="341"/>
      <c r="K220" s="341"/>
      <c r="L220" s="341"/>
      <c r="M220" s="577"/>
      <c r="N220" s="341"/>
      <c r="O220" s="341"/>
      <c r="P220" s="341"/>
      <c r="Q220" s="341"/>
      <c r="R220" s="341"/>
      <c r="S220" s="341"/>
      <c r="T220" s="341"/>
      <c r="U220" s="341"/>
      <c r="V220" s="341"/>
      <c r="W220" s="341"/>
      <c r="X220" s="341"/>
      <c r="Y220" s="341"/>
      <c r="Z220" s="341"/>
      <c r="AA220" s="341"/>
      <c r="AB220" s="341"/>
      <c r="AC220" s="341"/>
      <c r="AD220" s="341"/>
      <c r="AE220" s="341"/>
      <c r="AF220" s="341"/>
      <c r="AG220" s="341"/>
    </row>
    <row r="221" spans="1:33" ht="122.4" customHeight="1" thickBot="1" x14ac:dyDescent="0.45">
      <c r="A221" s="341"/>
      <c r="B221" s="341"/>
      <c r="C221" s="341"/>
      <c r="D221" s="713"/>
      <c r="E221" s="341"/>
      <c r="F221" s="442"/>
      <c r="G221" s="341"/>
      <c r="H221" s="341"/>
      <c r="I221" s="341"/>
      <c r="J221" s="341"/>
      <c r="K221" s="341"/>
      <c r="L221" s="341"/>
      <c r="M221" s="577"/>
      <c r="N221" s="341"/>
      <c r="O221" s="341"/>
      <c r="P221" s="341"/>
      <c r="Q221" s="341"/>
      <c r="R221" s="341"/>
      <c r="S221" s="341"/>
      <c r="T221" s="341"/>
      <c r="U221" s="341"/>
      <c r="V221" s="341"/>
      <c r="W221" s="341"/>
      <c r="X221" s="341"/>
      <c r="Y221" s="341"/>
      <c r="Z221" s="341"/>
      <c r="AA221" s="341"/>
      <c r="AB221" s="341"/>
      <c r="AC221" s="341"/>
      <c r="AD221" s="341"/>
      <c r="AE221" s="341"/>
      <c r="AF221" s="341"/>
      <c r="AG221" s="341"/>
    </row>
    <row r="222" spans="1:33" ht="122.4" customHeight="1" thickBot="1" x14ac:dyDescent="0.45">
      <c r="A222" s="341"/>
      <c r="B222" s="341"/>
      <c r="C222" s="341"/>
      <c r="D222" s="713"/>
      <c r="E222" s="341"/>
      <c r="F222" s="442"/>
      <c r="G222" s="341"/>
      <c r="H222" s="341"/>
      <c r="I222" s="341"/>
      <c r="J222" s="341"/>
      <c r="K222" s="341"/>
      <c r="L222" s="341"/>
      <c r="M222" s="577"/>
      <c r="N222" s="341"/>
      <c r="O222" s="341"/>
      <c r="P222" s="341"/>
      <c r="Q222" s="341"/>
      <c r="R222" s="341"/>
      <c r="S222" s="341"/>
      <c r="T222" s="341"/>
      <c r="U222" s="341"/>
      <c r="V222" s="341"/>
      <c r="W222" s="341"/>
      <c r="X222" s="341"/>
      <c r="Y222" s="341"/>
      <c r="Z222" s="341"/>
      <c r="AA222" s="341"/>
      <c r="AB222" s="341"/>
      <c r="AC222" s="341"/>
      <c r="AD222" s="341"/>
      <c r="AE222" s="341"/>
      <c r="AF222" s="341"/>
      <c r="AG222" s="341"/>
    </row>
    <row r="223" spans="1:33" ht="122.4" customHeight="1" thickBot="1" x14ac:dyDescent="0.45">
      <c r="A223" s="341"/>
      <c r="B223" s="341"/>
      <c r="C223" s="341"/>
      <c r="D223" s="713"/>
      <c r="E223" s="341"/>
      <c r="F223" s="442"/>
      <c r="G223" s="341"/>
      <c r="H223" s="341"/>
      <c r="I223" s="341"/>
      <c r="J223" s="341"/>
      <c r="K223" s="341"/>
      <c r="L223" s="341"/>
      <c r="M223" s="577"/>
      <c r="N223" s="341"/>
      <c r="O223" s="341"/>
      <c r="P223" s="341"/>
      <c r="Q223" s="341"/>
      <c r="R223" s="341"/>
      <c r="S223" s="341"/>
      <c r="T223" s="341"/>
      <c r="U223" s="341"/>
      <c r="V223" s="341"/>
      <c r="W223" s="341"/>
      <c r="X223" s="341"/>
      <c r="Y223" s="341"/>
      <c r="Z223" s="341"/>
      <c r="AA223" s="341"/>
      <c r="AB223" s="341"/>
      <c r="AC223" s="341"/>
      <c r="AD223" s="341"/>
      <c r="AE223" s="341"/>
      <c r="AF223" s="341"/>
      <c r="AG223" s="341"/>
    </row>
    <row r="224" spans="1:33" ht="122.4" customHeight="1" thickBot="1" x14ac:dyDescent="0.45">
      <c r="A224" s="341"/>
      <c r="B224" s="341"/>
      <c r="C224" s="341"/>
      <c r="D224" s="713"/>
      <c r="E224" s="341"/>
      <c r="F224" s="442"/>
      <c r="G224" s="341"/>
      <c r="H224" s="341"/>
      <c r="I224" s="341"/>
      <c r="J224" s="341"/>
      <c r="K224" s="341"/>
      <c r="L224" s="341"/>
      <c r="M224" s="577"/>
      <c r="N224" s="341"/>
      <c r="O224" s="341"/>
      <c r="P224" s="341"/>
      <c r="Q224" s="341"/>
      <c r="R224" s="341"/>
      <c r="S224" s="341"/>
      <c r="T224" s="341"/>
      <c r="U224" s="341"/>
      <c r="V224" s="341"/>
      <c r="W224" s="341"/>
      <c r="X224" s="341"/>
      <c r="Y224" s="341"/>
      <c r="Z224" s="341"/>
      <c r="AA224" s="341"/>
      <c r="AB224" s="341"/>
      <c r="AC224" s="341"/>
      <c r="AD224" s="341"/>
      <c r="AE224" s="341"/>
      <c r="AF224" s="341"/>
      <c r="AG224" s="341"/>
    </row>
    <row r="225" spans="1:33" ht="122.4" customHeight="1" thickBot="1" x14ac:dyDescent="0.45">
      <c r="A225" s="341"/>
      <c r="B225" s="341"/>
      <c r="C225" s="341"/>
      <c r="D225" s="713"/>
      <c r="E225" s="341"/>
      <c r="F225" s="442"/>
      <c r="G225" s="341"/>
      <c r="H225" s="341"/>
      <c r="I225" s="341"/>
      <c r="J225" s="341"/>
      <c r="K225" s="341"/>
      <c r="L225" s="341"/>
      <c r="M225" s="577"/>
      <c r="N225" s="341"/>
      <c r="O225" s="341"/>
      <c r="P225" s="341"/>
      <c r="Q225" s="341"/>
      <c r="R225" s="341"/>
      <c r="S225" s="341"/>
      <c r="T225" s="341"/>
      <c r="U225" s="341"/>
      <c r="V225" s="341"/>
      <c r="W225" s="341"/>
      <c r="X225" s="341"/>
      <c r="Y225" s="341"/>
      <c r="Z225" s="341"/>
      <c r="AA225" s="341"/>
      <c r="AB225" s="341"/>
      <c r="AC225" s="341"/>
      <c r="AD225" s="341"/>
      <c r="AE225" s="341"/>
      <c r="AF225" s="341"/>
      <c r="AG225" s="341"/>
    </row>
    <row r="226" spans="1:33" ht="122.4" customHeight="1" thickBot="1" x14ac:dyDescent="0.45">
      <c r="A226" s="341"/>
      <c r="B226" s="341"/>
      <c r="C226" s="341"/>
      <c r="D226" s="713"/>
      <c r="E226" s="341"/>
      <c r="F226" s="442"/>
      <c r="G226" s="341"/>
      <c r="H226" s="341"/>
      <c r="I226" s="341"/>
      <c r="J226" s="341"/>
      <c r="K226" s="341"/>
      <c r="L226" s="341"/>
      <c r="M226" s="577"/>
      <c r="N226" s="341"/>
      <c r="O226" s="341"/>
      <c r="P226" s="341"/>
      <c r="Q226" s="341"/>
      <c r="R226" s="341"/>
      <c r="S226" s="341"/>
      <c r="T226" s="341"/>
      <c r="U226" s="341"/>
      <c r="V226" s="341"/>
      <c r="W226" s="341"/>
      <c r="X226" s="341"/>
      <c r="Y226" s="341"/>
      <c r="Z226" s="341"/>
      <c r="AA226" s="341"/>
      <c r="AB226" s="341"/>
      <c r="AC226" s="341"/>
      <c r="AD226" s="341"/>
      <c r="AE226" s="341"/>
      <c r="AF226" s="341"/>
      <c r="AG226" s="341"/>
    </row>
    <row r="227" spans="1:33" ht="122.4" customHeight="1" thickBot="1" x14ac:dyDescent="0.45">
      <c r="A227" s="341"/>
      <c r="B227" s="341"/>
      <c r="C227" s="341"/>
      <c r="D227" s="713"/>
      <c r="E227" s="341"/>
      <c r="F227" s="442"/>
      <c r="G227" s="341"/>
      <c r="H227" s="341"/>
      <c r="I227" s="341"/>
      <c r="J227" s="341"/>
      <c r="K227" s="341"/>
      <c r="L227" s="341"/>
      <c r="M227" s="577"/>
      <c r="N227" s="341"/>
      <c r="O227" s="341"/>
      <c r="P227" s="341"/>
      <c r="Q227" s="341"/>
      <c r="R227" s="341"/>
      <c r="S227" s="341"/>
      <c r="T227" s="341"/>
      <c r="U227" s="341"/>
      <c r="V227" s="341"/>
      <c r="W227" s="341"/>
      <c r="X227" s="341"/>
      <c r="Y227" s="341"/>
      <c r="Z227" s="341"/>
      <c r="AA227" s="341"/>
      <c r="AB227" s="341"/>
      <c r="AC227" s="341"/>
      <c r="AD227" s="341"/>
      <c r="AE227" s="341"/>
      <c r="AF227" s="341"/>
      <c r="AG227" s="341"/>
    </row>
    <row r="228" spans="1:33" ht="122.4" customHeight="1" thickBot="1" x14ac:dyDescent="0.45">
      <c r="A228" s="341"/>
      <c r="B228" s="341"/>
      <c r="C228" s="341"/>
      <c r="D228" s="713"/>
      <c r="E228" s="341"/>
      <c r="F228" s="442"/>
      <c r="G228" s="341"/>
      <c r="H228" s="341"/>
      <c r="I228" s="341"/>
      <c r="J228" s="341"/>
      <c r="K228" s="341"/>
      <c r="L228" s="341"/>
      <c r="M228" s="577"/>
      <c r="N228" s="341"/>
      <c r="O228" s="341"/>
      <c r="P228" s="341"/>
      <c r="Q228" s="341"/>
      <c r="R228" s="341"/>
      <c r="S228" s="341"/>
      <c r="T228" s="341"/>
      <c r="U228" s="341"/>
      <c r="V228" s="341"/>
      <c r="W228" s="341"/>
      <c r="X228" s="341"/>
      <c r="Y228" s="341"/>
      <c r="Z228" s="341"/>
      <c r="AA228" s="341"/>
      <c r="AB228" s="341"/>
      <c r="AC228" s="341"/>
      <c r="AD228" s="341"/>
      <c r="AE228" s="341"/>
      <c r="AF228" s="341"/>
      <c r="AG228" s="341"/>
    </row>
    <row r="229" spans="1:33" ht="122.4" customHeight="1" thickBot="1" x14ac:dyDescent="0.45">
      <c r="A229" s="341"/>
      <c r="B229" s="341"/>
      <c r="C229" s="341"/>
      <c r="D229" s="713"/>
      <c r="E229" s="341"/>
      <c r="F229" s="442"/>
      <c r="G229" s="341"/>
      <c r="H229" s="341"/>
      <c r="I229" s="341"/>
      <c r="J229" s="341"/>
      <c r="K229" s="341"/>
      <c r="L229" s="341"/>
      <c r="M229" s="577"/>
      <c r="N229" s="341"/>
      <c r="O229" s="341"/>
      <c r="P229" s="341"/>
      <c r="Q229" s="341"/>
      <c r="R229" s="341"/>
      <c r="S229" s="341"/>
      <c r="T229" s="341"/>
      <c r="U229" s="341"/>
      <c r="V229" s="341"/>
      <c r="W229" s="341"/>
      <c r="X229" s="341"/>
      <c r="Y229" s="341"/>
      <c r="Z229" s="341"/>
      <c r="AA229" s="341"/>
      <c r="AB229" s="341"/>
      <c r="AC229" s="341"/>
      <c r="AD229" s="341"/>
      <c r="AE229" s="341"/>
      <c r="AF229" s="341"/>
      <c r="AG229" s="341"/>
    </row>
    <row r="230" spans="1:33" ht="122.4" customHeight="1" thickBot="1" x14ac:dyDescent="0.45">
      <c r="A230" s="341"/>
      <c r="B230" s="341"/>
      <c r="C230" s="341"/>
      <c r="D230" s="713"/>
      <c r="E230" s="341"/>
      <c r="F230" s="442"/>
      <c r="G230" s="341"/>
      <c r="H230" s="341"/>
      <c r="I230" s="341"/>
      <c r="J230" s="341"/>
      <c r="K230" s="341"/>
      <c r="L230" s="341"/>
      <c r="M230" s="577"/>
      <c r="N230" s="341"/>
      <c r="O230" s="341"/>
      <c r="P230" s="341"/>
      <c r="Q230" s="341"/>
      <c r="R230" s="341"/>
      <c r="S230" s="341"/>
      <c r="T230" s="341"/>
      <c r="U230" s="341"/>
      <c r="V230" s="341"/>
      <c r="W230" s="341"/>
      <c r="X230" s="341"/>
      <c r="Y230" s="341"/>
      <c r="Z230" s="341"/>
      <c r="AA230" s="341"/>
      <c r="AB230" s="341"/>
      <c r="AC230" s="341"/>
      <c r="AD230" s="341"/>
      <c r="AE230" s="341"/>
      <c r="AF230" s="341"/>
      <c r="AG230" s="341"/>
    </row>
    <row r="231" spans="1:33" ht="122.4" customHeight="1" thickBot="1" x14ac:dyDescent="0.45">
      <c r="A231" s="341"/>
      <c r="B231" s="341"/>
      <c r="C231" s="341"/>
      <c r="D231" s="713"/>
      <c r="E231" s="341"/>
      <c r="F231" s="442"/>
      <c r="G231" s="341"/>
      <c r="H231" s="341"/>
      <c r="I231" s="341"/>
      <c r="J231" s="341"/>
      <c r="K231" s="341"/>
      <c r="L231" s="341"/>
      <c r="M231" s="577"/>
      <c r="N231" s="341"/>
      <c r="O231" s="341"/>
      <c r="P231" s="341"/>
      <c r="Q231" s="341"/>
      <c r="R231" s="341"/>
      <c r="S231" s="341"/>
      <c r="T231" s="341"/>
      <c r="U231" s="341"/>
      <c r="V231" s="341"/>
      <c r="W231" s="341"/>
      <c r="X231" s="341"/>
      <c r="Y231" s="341"/>
      <c r="Z231" s="341"/>
      <c r="AA231" s="341"/>
      <c r="AB231" s="341"/>
      <c r="AC231" s="341"/>
      <c r="AD231" s="341"/>
      <c r="AE231" s="341"/>
      <c r="AF231" s="341"/>
      <c r="AG231" s="341"/>
    </row>
    <row r="232" spans="1:33" ht="122.4" customHeight="1" thickBot="1" x14ac:dyDescent="0.45">
      <c r="A232" s="341"/>
      <c r="B232" s="341"/>
      <c r="C232" s="341"/>
      <c r="D232" s="713"/>
      <c r="E232" s="341"/>
      <c r="F232" s="442"/>
      <c r="G232" s="341"/>
      <c r="H232" s="341"/>
      <c r="I232" s="341"/>
      <c r="J232" s="341"/>
      <c r="K232" s="341"/>
      <c r="L232" s="341"/>
      <c r="M232" s="577"/>
      <c r="N232" s="341"/>
      <c r="O232" s="341"/>
      <c r="P232" s="341"/>
      <c r="Q232" s="341"/>
      <c r="R232" s="341"/>
      <c r="S232" s="341"/>
      <c r="T232" s="341"/>
      <c r="U232" s="341"/>
      <c r="V232" s="341"/>
      <c r="W232" s="341"/>
      <c r="X232" s="341"/>
      <c r="Y232" s="341"/>
      <c r="Z232" s="341"/>
      <c r="AA232" s="341"/>
      <c r="AB232" s="341"/>
      <c r="AC232" s="341"/>
      <c r="AD232" s="341"/>
      <c r="AE232" s="341"/>
      <c r="AF232" s="341"/>
      <c r="AG232" s="341"/>
    </row>
    <row r="233" spans="1:33" ht="122.4" customHeight="1" thickBot="1" x14ac:dyDescent="0.45">
      <c r="A233" s="341"/>
      <c r="B233" s="341"/>
      <c r="C233" s="341"/>
      <c r="D233" s="713"/>
      <c r="E233" s="341"/>
      <c r="F233" s="442"/>
      <c r="G233" s="341"/>
      <c r="H233" s="341"/>
      <c r="I233" s="341"/>
      <c r="J233" s="341"/>
      <c r="K233" s="341"/>
      <c r="L233" s="341"/>
      <c r="M233" s="577"/>
      <c r="N233" s="341"/>
      <c r="O233" s="341"/>
      <c r="P233" s="341"/>
      <c r="Q233" s="341"/>
      <c r="R233" s="341"/>
      <c r="S233" s="341"/>
      <c r="T233" s="341"/>
      <c r="U233" s="341"/>
      <c r="V233" s="341"/>
      <c r="W233" s="341"/>
      <c r="X233" s="341"/>
      <c r="Y233" s="341"/>
      <c r="Z233" s="341"/>
      <c r="AA233" s="341"/>
      <c r="AB233" s="341"/>
      <c r="AC233" s="341"/>
      <c r="AD233" s="341"/>
      <c r="AE233" s="341"/>
      <c r="AF233" s="341"/>
      <c r="AG233" s="341"/>
    </row>
    <row r="234" spans="1:33" ht="122.4" customHeight="1" thickBot="1" x14ac:dyDescent="0.45">
      <c r="A234" s="341"/>
      <c r="B234" s="341"/>
      <c r="C234" s="341"/>
      <c r="D234" s="713"/>
      <c r="E234" s="341"/>
      <c r="F234" s="442"/>
      <c r="G234" s="341"/>
      <c r="H234" s="341"/>
      <c r="I234" s="341"/>
      <c r="J234" s="341"/>
      <c r="K234" s="341"/>
      <c r="L234" s="341"/>
      <c r="M234" s="577"/>
      <c r="N234" s="341"/>
      <c r="O234" s="341"/>
      <c r="P234" s="341"/>
      <c r="Q234" s="341"/>
      <c r="R234" s="341"/>
      <c r="S234" s="341"/>
      <c r="T234" s="341"/>
      <c r="U234" s="341"/>
      <c r="V234" s="341"/>
      <c r="W234" s="341"/>
      <c r="X234" s="341"/>
      <c r="Y234" s="341"/>
      <c r="Z234" s="341"/>
      <c r="AA234" s="341"/>
      <c r="AB234" s="341"/>
      <c r="AC234" s="341"/>
      <c r="AD234" s="341"/>
      <c r="AE234" s="341"/>
      <c r="AF234" s="341"/>
      <c r="AG234" s="341"/>
    </row>
    <row r="235" spans="1:33" ht="122.4" customHeight="1" thickBot="1" x14ac:dyDescent="0.45">
      <c r="A235" s="341"/>
      <c r="B235" s="341"/>
      <c r="C235" s="341"/>
      <c r="D235" s="713"/>
      <c r="E235" s="341"/>
      <c r="F235" s="442"/>
      <c r="G235" s="341"/>
      <c r="H235" s="341"/>
      <c r="I235" s="341"/>
      <c r="J235" s="341"/>
      <c r="K235" s="341"/>
      <c r="L235" s="341"/>
      <c r="M235" s="577"/>
      <c r="N235" s="341"/>
      <c r="O235" s="341"/>
      <c r="P235" s="341"/>
      <c r="Q235" s="341"/>
      <c r="R235" s="341"/>
      <c r="S235" s="341"/>
      <c r="T235" s="341"/>
      <c r="U235" s="341"/>
      <c r="V235" s="341"/>
      <c r="W235" s="341"/>
      <c r="X235" s="341"/>
      <c r="Y235" s="341"/>
      <c r="Z235" s="341"/>
      <c r="AA235" s="341"/>
      <c r="AB235" s="341"/>
      <c r="AC235" s="341"/>
      <c r="AD235" s="341"/>
      <c r="AE235" s="341"/>
      <c r="AF235" s="341"/>
      <c r="AG235" s="341"/>
    </row>
    <row r="236" spans="1:33" ht="122.4" customHeight="1" thickBot="1" x14ac:dyDescent="0.45">
      <c r="A236" s="341"/>
      <c r="B236" s="341"/>
      <c r="C236" s="341"/>
      <c r="D236" s="713"/>
      <c r="E236" s="341"/>
      <c r="F236" s="442"/>
      <c r="G236" s="341"/>
      <c r="H236" s="341"/>
      <c r="I236" s="341"/>
      <c r="J236" s="341"/>
      <c r="K236" s="341"/>
      <c r="L236" s="341"/>
      <c r="M236" s="577"/>
      <c r="N236" s="341"/>
      <c r="O236" s="341"/>
      <c r="P236" s="341"/>
      <c r="Q236" s="341"/>
      <c r="R236" s="341"/>
      <c r="S236" s="341"/>
      <c r="T236" s="341"/>
      <c r="U236" s="341"/>
      <c r="V236" s="341"/>
      <c r="W236" s="341"/>
      <c r="X236" s="341"/>
      <c r="Y236" s="341"/>
      <c r="Z236" s="341"/>
      <c r="AA236" s="341"/>
      <c r="AB236" s="341"/>
      <c r="AC236" s="341"/>
      <c r="AD236" s="341"/>
      <c r="AE236" s="341"/>
      <c r="AF236" s="341"/>
      <c r="AG236" s="341"/>
    </row>
    <row r="237" spans="1:33" ht="122.4" customHeight="1" thickBot="1" x14ac:dyDescent="0.45">
      <c r="A237" s="341"/>
      <c r="B237" s="341"/>
      <c r="C237" s="341"/>
      <c r="D237" s="713"/>
      <c r="E237" s="341"/>
      <c r="F237" s="442"/>
      <c r="G237" s="341"/>
      <c r="H237" s="341"/>
      <c r="I237" s="341"/>
      <c r="J237" s="341"/>
      <c r="K237" s="341"/>
      <c r="L237" s="341"/>
      <c r="M237" s="577"/>
      <c r="N237" s="341"/>
      <c r="O237" s="341"/>
      <c r="P237" s="341"/>
      <c r="Q237" s="341"/>
      <c r="R237" s="341"/>
      <c r="S237" s="341"/>
      <c r="T237" s="341"/>
      <c r="U237" s="341"/>
      <c r="V237" s="341"/>
      <c r="W237" s="341"/>
      <c r="X237" s="341"/>
      <c r="Y237" s="341"/>
      <c r="Z237" s="341"/>
      <c r="AA237" s="341"/>
      <c r="AB237" s="341"/>
      <c r="AC237" s="341"/>
      <c r="AD237" s="341"/>
      <c r="AE237" s="341"/>
      <c r="AF237" s="341"/>
      <c r="AG237" s="341"/>
    </row>
    <row r="238" spans="1:33" ht="122.4" customHeight="1" thickBot="1" x14ac:dyDescent="0.45">
      <c r="A238" s="341"/>
      <c r="B238" s="341"/>
      <c r="C238" s="341"/>
      <c r="D238" s="713"/>
      <c r="E238" s="341"/>
      <c r="F238" s="442"/>
      <c r="G238" s="341"/>
      <c r="H238" s="341"/>
      <c r="I238" s="341"/>
      <c r="J238" s="341"/>
      <c r="K238" s="341"/>
      <c r="L238" s="341"/>
      <c r="M238" s="577"/>
      <c r="N238" s="341"/>
      <c r="O238" s="341"/>
      <c r="P238" s="341"/>
      <c r="Q238" s="341"/>
      <c r="R238" s="341"/>
      <c r="S238" s="341"/>
      <c r="T238" s="341"/>
      <c r="U238" s="341"/>
      <c r="V238" s="341"/>
      <c r="W238" s="341"/>
      <c r="X238" s="341"/>
      <c r="Y238" s="341"/>
      <c r="Z238" s="341"/>
      <c r="AA238" s="341"/>
      <c r="AB238" s="341"/>
      <c r="AC238" s="341"/>
      <c r="AD238" s="341"/>
      <c r="AE238" s="341"/>
      <c r="AF238" s="341"/>
      <c r="AG238" s="341"/>
    </row>
    <row r="239" spans="1:33" ht="122.4" customHeight="1" thickBot="1" x14ac:dyDescent="0.45">
      <c r="A239" s="341"/>
      <c r="B239" s="341"/>
      <c r="C239" s="341"/>
      <c r="D239" s="713"/>
      <c r="E239" s="341"/>
      <c r="F239" s="442"/>
      <c r="G239" s="341"/>
      <c r="H239" s="341"/>
      <c r="I239" s="341"/>
      <c r="J239" s="341"/>
      <c r="K239" s="341"/>
      <c r="L239" s="341"/>
      <c r="M239" s="577"/>
      <c r="N239" s="341"/>
      <c r="O239" s="341"/>
      <c r="P239" s="341"/>
      <c r="Q239" s="341"/>
      <c r="R239" s="341"/>
      <c r="S239" s="341"/>
      <c r="T239" s="341"/>
      <c r="U239" s="341"/>
      <c r="V239" s="341"/>
      <c r="W239" s="341"/>
      <c r="X239" s="341"/>
      <c r="Y239" s="341"/>
      <c r="Z239" s="341"/>
      <c r="AA239" s="341"/>
      <c r="AB239" s="341"/>
      <c r="AC239" s="341"/>
      <c r="AD239" s="341"/>
      <c r="AE239" s="341"/>
      <c r="AF239" s="341"/>
      <c r="AG239" s="341"/>
    </row>
    <row r="240" spans="1:33" ht="122.4" customHeight="1" thickBot="1" x14ac:dyDescent="0.45">
      <c r="A240" s="341"/>
      <c r="B240" s="341"/>
      <c r="C240" s="341"/>
      <c r="D240" s="713"/>
      <c r="E240" s="341"/>
      <c r="F240" s="442"/>
      <c r="G240" s="341"/>
      <c r="H240" s="341"/>
      <c r="I240" s="341"/>
      <c r="J240" s="341"/>
      <c r="K240" s="341"/>
      <c r="L240" s="341"/>
      <c r="M240" s="577"/>
      <c r="N240" s="341"/>
      <c r="O240" s="341"/>
      <c r="P240" s="341"/>
      <c r="Q240" s="341"/>
      <c r="R240" s="341"/>
      <c r="S240" s="341"/>
      <c r="T240" s="341"/>
      <c r="U240" s="341"/>
      <c r="V240" s="341"/>
      <c r="W240" s="341"/>
      <c r="X240" s="341"/>
      <c r="Y240" s="341"/>
      <c r="Z240" s="341"/>
      <c r="AA240" s="341"/>
      <c r="AB240" s="341"/>
      <c r="AC240" s="341"/>
      <c r="AD240" s="341"/>
      <c r="AE240" s="341"/>
      <c r="AF240" s="341"/>
      <c r="AG240" s="341"/>
    </row>
    <row r="241" spans="1:33" ht="122.4" customHeight="1" thickBot="1" x14ac:dyDescent="0.45">
      <c r="A241" s="341"/>
      <c r="B241" s="341"/>
      <c r="C241" s="341"/>
      <c r="D241" s="713"/>
      <c r="E241" s="341"/>
      <c r="F241" s="442"/>
      <c r="G241" s="341"/>
      <c r="H241" s="341"/>
      <c r="I241" s="341"/>
      <c r="J241" s="341"/>
      <c r="K241" s="341"/>
      <c r="L241" s="341"/>
      <c r="M241" s="577"/>
      <c r="N241" s="341"/>
      <c r="O241" s="341"/>
      <c r="P241" s="341"/>
      <c r="Q241" s="341"/>
      <c r="R241" s="341"/>
      <c r="S241" s="341"/>
      <c r="T241" s="341"/>
      <c r="U241" s="341"/>
      <c r="V241" s="341"/>
      <c r="W241" s="341"/>
      <c r="X241" s="341"/>
      <c r="Y241" s="341"/>
      <c r="Z241" s="341"/>
      <c r="AA241" s="341"/>
      <c r="AB241" s="341"/>
      <c r="AC241" s="341"/>
      <c r="AD241" s="341"/>
      <c r="AE241" s="341"/>
      <c r="AF241" s="341"/>
      <c r="AG241" s="341"/>
    </row>
    <row r="242" spans="1:33" ht="122.4" customHeight="1" thickBot="1" x14ac:dyDescent="0.45">
      <c r="A242" s="341"/>
      <c r="B242" s="341"/>
      <c r="C242" s="341"/>
      <c r="D242" s="713"/>
      <c r="E242" s="341"/>
      <c r="F242" s="442"/>
      <c r="G242" s="341"/>
      <c r="H242" s="341"/>
      <c r="I242" s="341"/>
      <c r="J242" s="341"/>
      <c r="K242" s="341"/>
      <c r="L242" s="341"/>
      <c r="M242" s="577"/>
      <c r="N242" s="341"/>
      <c r="O242" s="341"/>
      <c r="P242" s="341"/>
      <c r="Q242" s="341"/>
      <c r="R242" s="341"/>
      <c r="S242" s="341"/>
      <c r="T242" s="341"/>
      <c r="U242" s="341"/>
      <c r="V242" s="341"/>
      <c r="W242" s="341"/>
      <c r="X242" s="341"/>
      <c r="Y242" s="341"/>
      <c r="Z242" s="341"/>
      <c r="AA242" s="341"/>
      <c r="AB242" s="341"/>
      <c r="AC242" s="341"/>
      <c r="AD242" s="341"/>
      <c r="AE242" s="341"/>
      <c r="AF242" s="341"/>
      <c r="AG242" s="341"/>
    </row>
    <row r="243" spans="1:33" ht="122.4" customHeight="1" thickBot="1" x14ac:dyDescent="0.45">
      <c r="A243" s="341"/>
      <c r="B243" s="341"/>
      <c r="C243" s="341"/>
      <c r="D243" s="713"/>
      <c r="E243" s="341"/>
      <c r="F243" s="442"/>
      <c r="G243" s="341"/>
      <c r="H243" s="341"/>
      <c r="I243" s="341"/>
      <c r="J243" s="341"/>
      <c r="K243" s="341"/>
      <c r="L243" s="341"/>
      <c r="M243" s="577"/>
      <c r="N243" s="341"/>
      <c r="O243" s="341"/>
      <c r="P243" s="341"/>
      <c r="Q243" s="341"/>
      <c r="R243" s="341"/>
      <c r="S243" s="341"/>
      <c r="T243" s="341"/>
      <c r="U243" s="341"/>
      <c r="V243" s="341"/>
      <c r="W243" s="341"/>
      <c r="X243" s="341"/>
      <c r="Y243" s="341"/>
      <c r="Z243" s="341"/>
      <c r="AA243" s="341"/>
      <c r="AB243" s="341"/>
      <c r="AC243" s="341"/>
      <c r="AD243" s="341"/>
      <c r="AE243" s="341"/>
      <c r="AF243" s="341"/>
      <c r="AG243" s="341"/>
    </row>
    <row r="244" spans="1:33" ht="122.4" customHeight="1" thickBot="1" x14ac:dyDescent="0.45">
      <c r="A244" s="341"/>
      <c r="B244" s="341"/>
      <c r="C244" s="341"/>
      <c r="D244" s="713"/>
      <c r="E244" s="341"/>
      <c r="F244" s="442"/>
      <c r="G244" s="341"/>
      <c r="H244" s="341"/>
      <c r="I244" s="341"/>
      <c r="J244" s="341"/>
      <c r="K244" s="341"/>
      <c r="L244" s="341"/>
      <c r="M244" s="577"/>
      <c r="N244" s="341"/>
      <c r="O244" s="341"/>
      <c r="P244" s="341"/>
      <c r="Q244" s="341"/>
      <c r="R244" s="341"/>
      <c r="S244" s="341"/>
      <c r="T244" s="341"/>
      <c r="U244" s="341"/>
      <c r="V244" s="341"/>
      <c r="W244" s="341"/>
      <c r="X244" s="341"/>
      <c r="Y244" s="341"/>
      <c r="Z244" s="341"/>
      <c r="AA244" s="341"/>
      <c r="AB244" s="341"/>
      <c r="AC244" s="341"/>
      <c r="AD244" s="341"/>
      <c r="AE244" s="341"/>
      <c r="AF244" s="341"/>
      <c r="AG244" s="341"/>
    </row>
    <row r="245" spans="1:33" ht="122.4" customHeight="1" thickBot="1" x14ac:dyDescent="0.45">
      <c r="A245" s="341"/>
      <c r="B245" s="341"/>
      <c r="C245" s="341"/>
      <c r="D245" s="713"/>
      <c r="E245" s="341"/>
      <c r="F245" s="442"/>
      <c r="G245" s="341"/>
      <c r="H245" s="341"/>
      <c r="I245" s="341"/>
      <c r="J245" s="341"/>
      <c r="K245" s="341"/>
      <c r="L245" s="341"/>
      <c r="M245" s="577"/>
      <c r="N245" s="341"/>
      <c r="O245" s="341"/>
      <c r="P245" s="341"/>
      <c r="Q245" s="341"/>
      <c r="R245" s="341"/>
      <c r="S245" s="341"/>
      <c r="T245" s="341"/>
      <c r="U245" s="341"/>
      <c r="V245" s="341"/>
      <c r="W245" s="341"/>
      <c r="X245" s="341"/>
      <c r="Y245" s="341"/>
      <c r="Z245" s="341"/>
      <c r="AA245" s="341"/>
      <c r="AB245" s="341"/>
      <c r="AC245" s="341"/>
      <c r="AD245" s="341"/>
      <c r="AE245" s="341"/>
      <c r="AF245" s="341"/>
      <c r="AG245" s="341"/>
    </row>
    <row r="246" spans="1:33" ht="122.4" customHeight="1" thickBot="1" x14ac:dyDescent="0.45">
      <c r="A246" s="341"/>
      <c r="B246" s="341"/>
      <c r="C246" s="341"/>
      <c r="D246" s="713"/>
      <c r="E246" s="341"/>
      <c r="F246" s="442"/>
      <c r="G246" s="341"/>
      <c r="H246" s="341"/>
      <c r="I246" s="341"/>
      <c r="J246" s="341"/>
      <c r="K246" s="341"/>
      <c r="L246" s="341"/>
      <c r="M246" s="577"/>
      <c r="N246" s="341"/>
      <c r="O246" s="341"/>
      <c r="P246" s="341"/>
      <c r="Q246" s="341"/>
      <c r="R246" s="341"/>
      <c r="S246" s="341"/>
      <c r="T246" s="341"/>
      <c r="U246" s="341"/>
      <c r="V246" s="341"/>
      <c r="W246" s="341"/>
      <c r="X246" s="341"/>
      <c r="Y246" s="341"/>
      <c r="Z246" s="341"/>
      <c r="AA246" s="341"/>
      <c r="AB246" s="341"/>
      <c r="AC246" s="341"/>
      <c r="AD246" s="341"/>
      <c r="AE246" s="341"/>
      <c r="AF246" s="341"/>
      <c r="AG246" s="341"/>
    </row>
    <row r="247" spans="1:33" ht="122.4" customHeight="1" thickBot="1" x14ac:dyDescent="0.45">
      <c r="A247" s="341"/>
      <c r="B247" s="341"/>
      <c r="C247" s="341"/>
      <c r="D247" s="713"/>
      <c r="E247" s="341"/>
      <c r="F247" s="442"/>
      <c r="G247" s="341"/>
      <c r="H247" s="341"/>
      <c r="I247" s="341"/>
      <c r="J247" s="341"/>
      <c r="K247" s="341"/>
      <c r="L247" s="341"/>
      <c r="M247" s="577"/>
      <c r="N247" s="341"/>
      <c r="O247" s="341"/>
      <c r="P247" s="341"/>
      <c r="Q247" s="341"/>
      <c r="R247" s="341"/>
      <c r="S247" s="341"/>
      <c r="T247" s="341"/>
      <c r="U247" s="341"/>
      <c r="V247" s="341"/>
      <c r="W247" s="341"/>
      <c r="X247" s="341"/>
      <c r="Y247" s="341"/>
      <c r="Z247" s="341"/>
      <c r="AA247" s="341"/>
      <c r="AB247" s="341"/>
      <c r="AC247" s="341"/>
      <c r="AD247" s="341"/>
      <c r="AE247" s="341"/>
      <c r="AF247" s="341"/>
      <c r="AG247" s="341"/>
    </row>
    <row r="248" spans="1:33" ht="122.4" customHeight="1" thickBot="1" x14ac:dyDescent="0.45">
      <c r="A248" s="341"/>
      <c r="B248" s="341"/>
      <c r="C248" s="341"/>
      <c r="D248" s="713"/>
      <c r="E248" s="341"/>
      <c r="F248" s="442"/>
      <c r="G248" s="341"/>
      <c r="H248" s="341"/>
      <c r="I248" s="341"/>
      <c r="J248" s="341"/>
      <c r="K248" s="341"/>
      <c r="L248" s="341"/>
      <c r="M248" s="577"/>
      <c r="N248" s="341"/>
      <c r="O248" s="341"/>
      <c r="P248" s="341"/>
      <c r="Q248" s="341"/>
      <c r="R248" s="341"/>
      <c r="S248" s="341"/>
      <c r="T248" s="341"/>
      <c r="U248" s="341"/>
      <c r="V248" s="341"/>
      <c r="W248" s="341"/>
      <c r="X248" s="341"/>
      <c r="Y248" s="341"/>
      <c r="Z248" s="341"/>
      <c r="AA248" s="341"/>
      <c r="AB248" s="341"/>
      <c r="AC248" s="341"/>
      <c r="AD248" s="341"/>
      <c r="AE248" s="341"/>
      <c r="AF248" s="341"/>
      <c r="AG248" s="341"/>
    </row>
    <row r="249" spans="1:33" ht="122.4" customHeight="1" thickBot="1" x14ac:dyDescent="0.45">
      <c r="A249" s="341"/>
      <c r="B249" s="341"/>
      <c r="C249" s="341"/>
      <c r="D249" s="713"/>
      <c r="E249" s="341"/>
      <c r="F249" s="442"/>
      <c r="G249" s="341"/>
      <c r="H249" s="341"/>
      <c r="I249" s="341"/>
      <c r="J249" s="341"/>
      <c r="K249" s="341"/>
      <c r="L249" s="341"/>
      <c r="M249" s="577"/>
      <c r="N249" s="341"/>
      <c r="O249" s="341"/>
      <c r="P249" s="341"/>
      <c r="Q249" s="341"/>
      <c r="R249" s="341"/>
      <c r="S249" s="341"/>
      <c r="T249" s="341"/>
      <c r="U249" s="341"/>
      <c r="V249" s="341"/>
      <c r="W249" s="341"/>
      <c r="X249" s="341"/>
      <c r="Y249" s="341"/>
      <c r="Z249" s="341"/>
      <c r="AA249" s="341"/>
      <c r="AB249" s="341"/>
      <c r="AC249" s="341"/>
      <c r="AD249" s="341"/>
      <c r="AE249" s="341"/>
      <c r="AF249" s="341"/>
      <c r="AG249" s="341"/>
    </row>
    <row r="250" spans="1:33" ht="122.4" customHeight="1" thickBot="1" x14ac:dyDescent="0.45">
      <c r="A250" s="341"/>
      <c r="B250" s="341"/>
      <c r="C250" s="341"/>
      <c r="D250" s="713"/>
      <c r="E250" s="341"/>
      <c r="F250" s="442"/>
      <c r="G250" s="341"/>
      <c r="H250" s="341"/>
      <c r="I250" s="341"/>
      <c r="J250" s="341"/>
      <c r="K250" s="341"/>
      <c r="L250" s="341"/>
      <c r="M250" s="577"/>
      <c r="N250" s="341"/>
      <c r="O250" s="341"/>
      <c r="P250" s="341"/>
      <c r="Q250" s="341"/>
      <c r="R250" s="341"/>
      <c r="S250" s="341"/>
      <c r="T250" s="341"/>
      <c r="U250" s="341"/>
      <c r="V250" s="341"/>
      <c r="W250" s="341"/>
      <c r="X250" s="341"/>
      <c r="Y250" s="341"/>
      <c r="Z250" s="341"/>
      <c r="AA250" s="341"/>
      <c r="AB250" s="341"/>
      <c r="AC250" s="341"/>
      <c r="AD250" s="341"/>
      <c r="AE250" s="341"/>
      <c r="AF250" s="341"/>
      <c r="AG250" s="341"/>
    </row>
    <row r="251" spans="1:33" ht="122.4" customHeight="1" thickBot="1" x14ac:dyDescent="0.45">
      <c r="A251" s="341"/>
      <c r="B251" s="341"/>
      <c r="C251" s="341"/>
      <c r="D251" s="713"/>
      <c r="E251" s="341"/>
      <c r="F251" s="442"/>
      <c r="G251" s="341"/>
      <c r="H251" s="341"/>
      <c r="I251" s="341"/>
      <c r="J251" s="341"/>
      <c r="K251" s="341"/>
      <c r="L251" s="341"/>
      <c r="M251" s="577"/>
      <c r="N251" s="341"/>
      <c r="O251" s="341"/>
      <c r="P251" s="341"/>
      <c r="Q251" s="341"/>
      <c r="R251" s="341"/>
      <c r="S251" s="341"/>
      <c r="T251" s="341"/>
      <c r="U251" s="341"/>
      <c r="V251" s="341"/>
      <c r="W251" s="341"/>
      <c r="X251" s="341"/>
      <c r="Y251" s="341"/>
      <c r="Z251" s="341"/>
      <c r="AA251" s="341"/>
      <c r="AB251" s="341"/>
      <c r="AC251" s="341"/>
      <c r="AD251" s="341"/>
      <c r="AE251" s="341"/>
      <c r="AF251" s="341"/>
      <c r="AG251" s="341"/>
    </row>
    <row r="252" spans="1:33" ht="122.4" customHeight="1" thickBot="1" x14ac:dyDescent="0.45">
      <c r="A252" s="341"/>
      <c r="B252" s="341"/>
      <c r="C252" s="341"/>
      <c r="D252" s="713"/>
      <c r="E252" s="341"/>
      <c r="F252" s="442"/>
      <c r="G252" s="341"/>
      <c r="H252" s="341"/>
      <c r="I252" s="341"/>
      <c r="J252" s="341"/>
      <c r="K252" s="341"/>
      <c r="L252" s="341"/>
      <c r="M252" s="577"/>
      <c r="N252" s="341"/>
      <c r="O252" s="341"/>
      <c r="P252" s="341"/>
      <c r="Q252" s="341"/>
      <c r="R252" s="341"/>
      <c r="S252" s="341"/>
      <c r="T252" s="341"/>
      <c r="U252" s="341"/>
      <c r="V252" s="341"/>
      <c r="W252" s="341"/>
      <c r="X252" s="341"/>
      <c r="Y252" s="341"/>
      <c r="Z252" s="341"/>
      <c r="AA252" s="341"/>
      <c r="AB252" s="341"/>
      <c r="AC252" s="341"/>
      <c r="AD252" s="341"/>
      <c r="AE252" s="341"/>
      <c r="AF252" s="341"/>
      <c r="AG252" s="341"/>
    </row>
    <row r="253" spans="1:33" ht="122.4" customHeight="1" thickBot="1" x14ac:dyDescent="0.45">
      <c r="A253" s="341"/>
      <c r="B253" s="341"/>
      <c r="C253" s="341"/>
      <c r="D253" s="713"/>
      <c r="E253" s="341"/>
      <c r="F253" s="442"/>
      <c r="G253" s="341"/>
      <c r="H253" s="341"/>
      <c r="I253" s="341"/>
      <c r="J253" s="341"/>
      <c r="K253" s="341"/>
      <c r="L253" s="341"/>
      <c r="M253" s="577"/>
      <c r="N253" s="341"/>
      <c r="O253" s="341"/>
      <c r="P253" s="341"/>
      <c r="Q253" s="341"/>
      <c r="R253" s="341"/>
      <c r="S253" s="341"/>
      <c r="T253" s="341"/>
      <c r="U253" s="341"/>
      <c r="V253" s="341"/>
      <c r="W253" s="341"/>
      <c r="X253" s="341"/>
      <c r="Y253" s="341"/>
      <c r="Z253" s="341"/>
      <c r="AA253" s="341"/>
      <c r="AB253" s="341"/>
      <c r="AC253" s="341"/>
      <c r="AD253" s="341"/>
      <c r="AE253" s="341"/>
      <c r="AF253" s="341"/>
      <c r="AG253" s="341"/>
    </row>
    <row r="254" spans="1:33" ht="122.4" customHeight="1" thickBot="1" x14ac:dyDescent="0.45">
      <c r="A254" s="341"/>
      <c r="B254" s="341"/>
      <c r="C254" s="341"/>
      <c r="D254" s="713"/>
      <c r="E254" s="341"/>
      <c r="F254" s="442"/>
      <c r="G254" s="341"/>
      <c r="H254" s="341"/>
      <c r="I254" s="341"/>
      <c r="J254" s="341"/>
      <c r="K254" s="341"/>
      <c r="L254" s="341"/>
      <c r="M254" s="577"/>
      <c r="N254" s="341"/>
      <c r="O254" s="341"/>
      <c r="P254" s="341"/>
      <c r="Q254" s="341"/>
      <c r="R254" s="341"/>
      <c r="S254" s="341"/>
      <c r="T254" s="341"/>
      <c r="U254" s="341"/>
      <c r="V254" s="341"/>
      <c r="W254" s="341"/>
      <c r="X254" s="341"/>
      <c r="Y254" s="341"/>
      <c r="Z254" s="341"/>
      <c r="AA254" s="341"/>
      <c r="AB254" s="341"/>
      <c r="AC254" s="341"/>
      <c r="AD254" s="341"/>
      <c r="AE254" s="341"/>
      <c r="AF254" s="341"/>
      <c r="AG254" s="341"/>
    </row>
    <row r="255" spans="1:33" ht="122.4" customHeight="1" thickBot="1" x14ac:dyDescent="0.45">
      <c r="A255" s="341"/>
      <c r="B255" s="341"/>
      <c r="C255" s="341"/>
      <c r="D255" s="713"/>
      <c r="E255" s="341"/>
      <c r="F255" s="442"/>
      <c r="G255" s="341"/>
      <c r="H255" s="341"/>
      <c r="I255" s="341"/>
      <c r="J255" s="341"/>
      <c r="K255" s="341"/>
      <c r="L255" s="341"/>
      <c r="M255" s="577"/>
      <c r="N255" s="341"/>
      <c r="O255" s="341"/>
      <c r="P255" s="341"/>
      <c r="Q255" s="341"/>
      <c r="R255" s="341"/>
      <c r="S255" s="341"/>
      <c r="T255" s="341"/>
      <c r="U255" s="341"/>
      <c r="V255" s="341"/>
      <c r="W255" s="341"/>
      <c r="X255" s="341"/>
      <c r="Y255" s="341"/>
      <c r="Z255" s="341"/>
      <c r="AA255" s="341"/>
      <c r="AB255" s="341"/>
      <c r="AC255" s="341"/>
      <c r="AD255" s="341"/>
      <c r="AE255" s="341"/>
      <c r="AF255" s="341"/>
      <c r="AG255" s="341"/>
    </row>
    <row r="256" spans="1:33" ht="122.4" customHeight="1" thickBot="1" x14ac:dyDescent="0.45">
      <c r="A256" s="341"/>
      <c r="B256" s="341"/>
      <c r="C256" s="341"/>
      <c r="D256" s="713"/>
      <c r="E256" s="341"/>
      <c r="F256" s="442"/>
      <c r="G256" s="341"/>
      <c r="H256" s="341"/>
      <c r="I256" s="341"/>
      <c r="J256" s="341"/>
      <c r="K256" s="341"/>
      <c r="L256" s="341"/>
      <c r="M256" s="577"/>
      <c r="N256" s="341"/>
      <c r="O256" s="341"/>
      <c r="P256" s="341"/>
      <c r="Q256" s="341"/>
      <c r="R256" s="341"/>
      <c r="S256" s="341"/>
      <c r="T256" s="341"/>
      <c r="U256" s="341"/>
      <c r="V256" s="341"/>
      <c r="W256" s="341"/>
      <c r="X256" s="341"/>
      <c r="Y256" s="341"/>
      <c r="Z256" s="341"/>
      <c r="AA256" s="341"/>
      <c r="AB256" s="341"/>
      <c r="AC256" s="341"/>
      <c r="AD256" s="341"/>
      <c r="AE256" s="341"/>
      <c r="AF256" s="341"/>
      <c r="AG256" s="341"/>
    </row>
    <row r="257" spans="1:33" ht="122.4" customHeight="1" thickBot="1" x14ac:dyDescent="0.45">
      <c r="A257" s="341"/>
      <c r="B257" s="341"/>
      <c r="C257" s="341"/>
      <c r="D257" s="713"/>
      <c r="E257" s="341"/>
      <c r="F257" s="442"/>
      <c r="G257" s="341"/>
      <c r="H257" s="341"/>
      <c r="I257" s="341"/>
      <c r="J257" s="341"/>
      <c r="K257" s="341"/>
      <c r="L257" s="341"/>
      <c r="M257" s="577"/>
      <c r="N257" s="341"/>
      <c r="O257" s="341"/>
      <c r="P257" s="341"/>
      <c r="Q257" s="341"/>
      <c r="R257" s="341"/>
      <c r="S257" s="341"/>
      <c r="T257" s="341"/>
      <c r="U257" s="341"/>
      <c r="V257" s="341"/>
      <c r="W257" s="341"/>
      <c r="X257" s="341"/>
      <c r="Y257" s="341"/>
      <c r="Z257" s="341"/>
      <c r="AA257" s="341"/>
      <c r="AB257" s="341"/>
      <c r="AC257" s="341"/>
      <c r="AD257" s="341"/>
      <c r="AE257" s="341"/>
      <c r="AF257" s="341"/>
      <c r="AG257" s="341"/>
    </row>
    <row r="258" spans="1:33" ht="122.4" customHeight="1" thickBot="1" x14ac:dyDescent="0.45">
      <c r="A258" s="341"/>
      <c r="B258" s="341"/>
      <c r="C258" s="341"/>
      <c r="D258" s="713"/>
      <c r="E258" s="341"/>
      <c r="F258" s="442"/>
      <c r="G258" s="341"/>
      <c r="H258" s="341"/>
      <c r="I258" s="341"/>
      <c r="J258" s="341"/>
      <c r="K258" s="341"/>
      <c r="L258" s="341"/>
      <c r="M258" s="577"/>
      <c r="N258" s="341"/>
      <c r="O258" s="341"/>
      <c r="P258" s="341"/>
      <c r="Q258" s="341"/>
      <c r="R258" s="341"/>
      <c r="S258" s="341"/>
      <c r="T258" s="341"/>
      <c r="U258" s="341"/>
      <c r="V258" s="341"/>
      <c r="W258" s="341"/>
      <c r="X258" s="341"/>
      <c r="Y258" s="341"/>
      <c r="Z258" s="341"/>
      <c r="AA258" s="341"/>
      <c r="AB258" s="341"/>
      <c r="AC258" s="341"/>
      <c r="AD258" s="341"/>
      <c r="AE258" s="341"/>
      <c r="AF258" s="341"/>
      <c r="AG258" s="341"/>
    </row>
    <row r="259" spans="1:33" ht="122.4" customHeight="1" thickBot="1" x14ac:dyDescent="0.45">
      <c r="A259" s="341"/>
      <c r="B259" s="341"/>
      <c r="C259" s="341"/>
      <c r="D259" s="713"/>
      <c r="E259" s="341"/>
      <c r="F259" s="442"/>
      <c r="G259" s="341"/>
      <c r="H259" s="341"/>
      <c r="I259" s="341"/>
      <c r="J259" s="341"/>
      <c r="K259" s="341"/>
      <c r="L259" s="341"/>
      <c r="M259" s="577"/>
      <c r="N259" s="341"/>
      <c r="O259" s="341"/>
      <c r="P259" s="341"/>
      <c r="Q259" s="341"/>
      <c r="R259" s="341"/>
      <c r="S259" s="341"/>
      <c r="T259" s="341"/>
      <c r="U259" s="341"/>
      <c r="V259" s="341"/>
      <c r="W259" s="341"/>
      <c r="X259" s="341"/>
      <c r="Y259" s="341"/>
      <c r="Z259" s="341"/>
      <c r="AA259" s="341"/>
      <c r="AB259" s="341"/>
      <c r="AC259" s="341"/>
      <c r="AD259" s="341"/>
      <c r="AE259" s="341"/>
      <c r="AF259" s="341"/>
      <c r="AG259" s="341"/>
    </row>
    <row r="260" spans="1:33" ht="122.4" customHeight="1" thickBot="1" x14ac:dyDescent="0.45">
      <c r="A260" s="341"/>
      <c r="B260" s="341"/>
      <c r="C260" s="341"/>
      <c r="D260" s="713"/>
      <c r="E260" s="341"/>
      <c r="F260" s="442"/>
      <c r="G260" s="341"/>
      <c r="H260" s="341"/>
      <c r="I260" s="341"/>
      <c r="J260" s="341"/>
      <c r="K260" s="341"/>
      <c r="L260" s="341"/>
      <c r="M260" s="577"/>
      <c r="N260" s="341"/>
      <c r="O260" s="341"/>
      <c r="P260" s="341"/>
      <c r="Q260" s="341"/>
      <c r="R260" s="341"/>
      <c r="S260" s="341"/>
      <c r="T260" s="341"/>
      <c r="U260" s="341"/>
      <c r="V260" s="341"/>
      <c r="W260" s="341"/>
      <c r="X260" s="341"/>
      <c r="Y260" s="341"/>
      <c r="Z260" s="341"/>
      <c r="AA260" s="341"/>
      <c r="AB260" s="341"/>
      <c r="AC260" s="341"/>
      <c r="AD260" s="341"/>
      <c r="AE260" s="341"/>
      <c r="AF260" s="341"/>
      <c r="AG260" s="341"/>
    </row>
    <row r="261" spans="1:33" ht="122.4" customHeight="1" thickBot="1" x14ac:dyDescent="0.45">
      <c r="A261" s="341"/>
      <c r="B261" s="341"/>
      <c r="C261" s="341"/>
      <c r="D261" s="713"/>
      <c r="E261" s="341"/>
      <c r="F261" s="442"/>
      <c r="G261" s="341"/>
      <c r="H261" s="341"/>
      <c r="I261" s="341"/>
      <c r="J261" s="341"/>
      <c r="K261" s="341"/>
      <c r="L261" s="341"/>
      <c r="M261" s="577"/>
      <c r="N261" s="341"/>
      <c r="O261" s="341"/>
      <c r="P261" s="341"/>
      <c r="Q261" s="341"/>
      <c r="R261" s="341"/>
      <c r="S261" s="341"/>
      <c r="T261" s="341"/>
      <c r="U261" s="341"/>
      <c r="V261" s="341"/>
      <c r="W261" s="341"/>
      <c r="X261" s="341"/>
      <c r="Y261" s="341"/>
      <c r="Z261" s="341"/>
      <c r="AA261" s="341"/>
      <c r="AB261" s="341"/>
      <c r="AC261" s="341"/>
      <c r="AD261" s="341"/>
      <c r="AE261" s="341"/>
      <c r="AF261" s="341"/>
      <c r="AG261" s="341"/>
    </row>
    <row r="262" spans="1:33" ht="122.4" customHeight="1" thickBot="1" x14ac:dyDescent="0.45">
      <c r="A262" s="341"/>
      <c r="B262" s="341"/>
      <c r="C262" s="341"/>
      <c r="D262" s="713"/>
      <c r="E262" s="341"/>
      <c r="F262" s="442"/>
      <c r="G262" s="341"/>
      <c r="H262" s="341"/>
      <c r="I262" s="341"/>
      <c r="J262" s="341"/>
      <c r="K262" s="341"/>
      <c r="L262" s="341"/>
      <c r="M262" s="577"/>
      <c r="N262" s="341"/>
      <c r="O262" s="341"/>
      <c r="P262" s="341"/>
      <c r="Q262" s="341"/>
      <c r="R262" s="341"/>
      <c r="S262" s="341"/>
      <c r="T262" s="341"/>
      <c r="U262" s="341"/>
      <c r="V262" s="341"/>
      <c r="W262" s="341"/>
      <c r="X262" s="341"/>
      <c r="Y262" s="341"/>
      <c r="Z262" s="341"/>
      <c r="AA262" s="341"/>
      <c r="AB262" s="341"/>
      <c r="AC262" s="341"/>
      <c r="AD262" s="341"/>
      <c r="AE262" s="341"/>
      <c r="AF262" s="341"/>
      <c r="AG262" s="341"/>
    </row>
    <row r="263" spans="1:33" ht="122.4" customHeight="1" thickBot="1" x14ac:dyDescent="0.45">
      <c r="A263" s="341"/>
      <c r="B263" s="341"/>
      <c r="C263" s="341"/>
      <c r="D263" s="713"/>
      <c r="E263" s="341"/>
      <c r="F263" s="442"/>
      <c r="G263" s="341"/>
      <c r="H263" s="341"/>
      <c r="I263" s="341"/>
      <c r="J263" s="341"/>
      <c r="K263" s="341"/>
      <c r="L263" s="341"/>
      <c r="M263" s="577"/>
      <c r="N263" s="341"/>
      <c r="O263" s="341"/>
      <c r="P263" s="341"/>
      <c r="Q263" s="341"/>
      <c r="R263" s="341"/>
      <c r="S263" s="341"/>
      <c r="T263" s="341"/>
      <c r="U263" s="341"/>
      <c r="V263" s="341"/>
      <c r="W263" s="341"/>
      <c r="X263" s="341"/>
      <c r="Y263" s="341"/>
      <c r="Z263" s="341"/>
      <c r="AA263" s="341"/>
      <c r="AB263" s="341"/>
      <c r="AC263" s="341"/>
      <c r="AD263" s="341"/>
      <c r="AE263" s="341"/>
      <c r="AF263" s="341"/>
      <c r="AG263" s="341"/>
    </row>
    <row r="264" spans="1:33" ht="122.4" customHeight="1" thickBot="1" x14ac:dyDescent="0.45">
      <c r="A264" s="341"/>
      <c r="B264" s="341"/>
      <c r="C264" s="341"/>
      <c r="D264" s="713"/>
      <c r="E264" s="341"/>
      <c r="F264" s="442"/>
      <c r="G264" s="341"/>
      <c r="H264" s="341"/>
      <c r="I264" s="341"/>
      <c r="J264" s="341"/>
      <c r="K264" s="341"/>
      <c r="L264" s="341"/>
      <c r="M264" s="577"/>
      <c r="N264" s="341"/>
      <c r="O264" s="341"/>
      <c r="P264" s="341"/>
      <c r="Q264" s="341"/>
      <c r="R264" s="341"/>
      <c r="S264" s="341"/>
      <c r="T264" s="341"/>
      <c r="U264" s="341"/>
      <c r="V264" s="341"/>
      <c r="W264" s="341"/>
      <c r="X264" s="341"/>
      <c r="Y264" s="341"/>
      <c r="Z264" s="341"/>
      <c r="AA264" s="341"/>
      <c r="AB264" s="341"/>
      <c r="AC264" s="341"/>
      <c r="AD264" s="341"/>
      <c r="AE264" s="341"/>
      <c r="AF264" s="341"/>
      <c r="AG264" s="341"/>
    </row>
    <row r="265" spans="1:33" ht="122.4" customHeight="1" thickBot="1" x14ac:dyDescent="0.45">
      <c r="A265" s="341"/>
      <c r="B265" s="341"/>
      <c r="C265" s="341"/>
      <c r="D265" s="713"/>
      <c r="E265" s="341"/>
      <c r="F265" s="442"/>
      <c r="G265" s="341"/>
      <c r="H265" s="341"/>
      <c r="I265" s="341"/>
      <c r="J265" s="341"/>
      <c r="K265" s="341"/>
      <c r="L265" s="341"/>
      <c r="M265" s="577"/>
      <c r="N265" s="341"/>
      <c r="O265" s="341"/>
      <c r="P265" s="341"/>
      <c r="Q265" s="341"/>
      <c r="R265" s="341"/>
      <c r="S265" s="341"/>
      <c r="T265" s="341"/>
      <c r="U265" s="341"/>
      <c r="V265" s="341"/>
      <c r="W265" s="341"/>
      <c r="X265" s="341"/>
      <c r="Y265" s="341"/>
      <c r="Z265" s="341"/>
      <c r="AA265" s="341"/>
      <c r="AB265" s="341"/>
      <c r="AC265" s="341"/>
      <c r="AD265" s="341"/>
      <c r="AE265" s="341"/>
      <c r="AF265" s="341"/>
      <c r="AG265" s="341"/>
    </row>
    <row r="266" spans="1:33" ht="122.4" customHeight="1" thickBot="1" x14ac:dyDescent="0.45">
      <c r="A266" s="341"/>
      <c r="B266" s="341"/>
      <c r="C266" s="341"/>
      <c r="D266" s="713"/>
      <c r="E266" s="341"/>
      <c r="F266" s="442"/>
      <c r="G266" s="341"/>
      <c r="H266" s="341"/>
      <c r="I266" s="341"/>
      <c r="J266" s="341"/>
      <c r="K266" s="341"/>
      <c r="L266" s="341"/>
      <c r="M266" s="577"/>
      <c r="N266" s="341"/>
      <c r="O266" s="341"/>
      <c r="P266" s="341"/>
      <c r="Q266" s="341"/>
      <c r="R266" s="341"/>
      <c r="S266" s="341"/>
      <c r="T266" s="341"/>
      <c r="U266" s="341"/>
      <c r="V266" s="341"/>
      <c r="W266" s="341"/>
      <c r="X266" s="341"/>
      <c r="Y266" s="341"/>
      <c r="Z266" s="341"/>
      <c r="AA266" s="341"/>
      <c r="AB266" s="341"/>
      <c r="AC266" s="341"/>
      <c r="AD266" s="341"/>
      <c r="AE266" s="341"/>
      <c r="AF266" s="341"/>
      <c r="AG266" s="341"/>
    </row>
    <row r="267" spans="1:33" ht="122.4" customHeight="1" thickBot="1" x14ac:dyDescent="0.45">
      <c r="A267" s="341"/>
      <c r="B267" s="341"/>
      <c r="C267" s="341"/>
      <c r="D267" s="713"/>
      <c r="E267" s="341"/>
      <c r="F267" s="442"/>
      <c r="G267" s="341"/>
      <c r="H267" s="341"/>
      <c r="I267" s="341"/>
      <c r="J267" s="341"/>
      <c r="K267" s="341"/>
      <c r="L267" s="341"/>
      <c r="M267" s="577"/>
      <c r="N267" s="341"/>
      <c r="O267" s="341"/>
      <c r="P267" s="341"/>
      <c r="Q267" s="341"/>
      <c r="R267" s="341"/>
      <c r="S267" s="341"/>
      <c r="T267" s="341"/>
      <c r="U267" s="341"/>
      <c r="V267" s="341"/>
      <c r="W267" s="341"/>
      <c r="X267" s="341"/>
      <c r="Y267" s="341"/>
      <c r="Z267" s="341"/>
      <c r="AA267" s="341"/>
      <c r="AB267" s="341"/>
      <c r="AC267" s="341"/>
      <c r="AD267" s="341"/>
      <c r="AE267" s="341"/>
      <c r="AF267" s="341"/>
      <c r="AG267" s="341"/>
    </row>
    <row r="268" spans="1:33" ht="122.4" customHeight="1" thickBot="1" x14ac:dyDescent="0.45">
      <c r="A268" s="341"/>
      <c r="B268" s="341"/>
      <c r="C268" s="341"/>
      <c r="D268" s="713"/>
      <c r="E268" s="341"/>
      <c r="F268" s="442"/>
      <c r="G268" s="341"/>
      <c r="H268" s="341"/>
      <c r="I268" s="341"/>
      <c r="J268" s="341"/>
      <c r="K268" s="341"/>
      <c r="L268" s="341"/>
      <c r="M268" s="577"/>
      <c r="N268" s="341"/>
      <c r="O268" s="341"/>
      <c r="P268" s="341"/>
      <c r="Q268" s="341"/>
      <c r="R268" s="341"/>
      <c r="S268" s="341"/>
      <c r="T268" s="341"/>
      <c r="U268" s="341"/>
      <c r="V268" s="341"/>
      <c r="W268" s="341"/>
      <c r="X268" s="341"/>
      <c r="Y268" s="341"/>
      <c r="Z268" s="341"/>
      <c r="AA268" s="341"/>
      <c r="AB268" s="341"/>
      <c r="AC268" s="341"/>
      <c r="AD268" s="341"/>
      <c r="AE268" s="341"/>
      <c r="AF268" s="341"/>
      <c r="AG268" s="341"/>
    </row>
    <row r="269" spans="1:33" ht="122.4" customHeight="1" thickBot="1" x14ac:dyDescent="0.45">
      <c r="A269" s="341"/>
      <c r="B269" s="341"/>
      <c r="C269" s="341"/>
      <c r="D269" s="713"/>
      <c r="E269" s="341"/>
      <c r="F269" s="442"/>
      <c r="G269" s="341"/>
      <c r="H269" s="341"/>
      <c r="I269" s="341"/>
      <c r="J269" s="341"/>
      <c r="K269" s="341"/>
      <c r="L269" s="341"/>
      <c r="M269" s="577"/>
      <c r="N269" s="341"/>
      <c r="O269" s="341"/>
      <c r="P269" s="341"/>
      <c r="Q269" s="341"/>
      <c r="R269" s="341"/>
      <c r="S269" s="341"/>
      <c r="T269" s="341"/>
      <c r="U269" s="341"/>
      <c r="V269" s="341"/>
      <c r="W269" s="341"/>
      <c r="X269" s="341"/>
      <c r="Y269" s="341"/>
      <c r="Z269" s="341"/>
      <c r="AA269" s="341"/>
      <c r="AB269" s="341"/>
      <c r="AC269" s="341"/>
      <c r="AD269" s="341"/>
      <c r="AE269" s="341"/>
      <c r="AF269" s="341"/>
      <c r="AG269" s="341"/>
    </row>
    <row r="270" spans="1:33" ht="122.4" customHeight="1" thickBot="1" x14ac:dyDescent="0.45">
      <c r="A270" s="341"/>
      <c r="B270" s="341"/>
      <c r="C270" s="341"/>
      <c r="D270" s="713"/>
      <c r="E270" s="341"/>
      <c r="F270" s="442"/>
      <c r="G270" s="341"/>
      <c r="H270" s="341"/>
      <c r="I270" s="341"/>
      <c r="J270" s="341"/>
      <c r="K270" s="341"/>
      <c r="L270" s="341"/>
      <c r="M270" s="577"/>
      <c r="N270" s="341"/>
      <c r="O270" s="341"/>
      <c r="P270" s="341"/>
      <c r="Q270" s="341"/>
      <c r="R270" s="341"/>
      <c r="S270" s="341"/>
      <c r="T270" s="341"/>
      <c r="U270" s="341"/>
      <c r="V270" s="341"/>
      <c r="W270" s="341"/>
      <c r="X270" s="341"/>
      <c r="Y270" s="341"/>
      <c r="Z270" s="341"/>
      <c r="AA270" s="341"/>
      <c r="AB270" s="341"/>
      <c r="AC270" s="341"/>
      <c r="AD270" s="341"/>
      <c r="AE270" s="341"/>
      <c r="AF270" s="341"/>
      <c r="AG270" s="341"/>
    </row>
    <row r="271" spans="1:33" ht="122.4" customHeight="1" thickBot="1" x14ac:dyDescent="0.45">
      <c r="A271" s="341"/>
      <c r="B271" s="341"/>
      <c r="C271" s="341"/>
      <c r="D271" s="713"/>
      <c r="E271" s="341"/>
      <c r="F271" s="442"/>
      <c r="G271" s="341"/>
      <c r="H271" s="341"/>
      <c r="I271" s="341"/>
      <c r="J271" s="341"/>
      <c r="K271" s="341"/>
      <c r="L271" s="341"/>
      <c r="M271" s="577"/>
      <c r="N271" s="341"/>
      <c r="O271" s="341"/>
      <c r="P271" s="341"/>
      <c r="Q271" s="341"/>
      <c r="R271" s="341"/>
      <c r="S271" s="341"/>
      <c r="T271" s="341"/>
      <c r="U271" s="341"/>
      <c r="V271" s="341"/>
      <c r="W271" s="341"/>
      <c r="X271" s="341"/>
      <c r="Y271" s="341"/>
      <c r="Z271" s="341"/>
      <c r="AA271" s="341"/>
      <c r="AB271" s="341"/>
      <c r="AC271" s="341"/>
      <c r="AD271" s="341"/>
      <c r="AE271" s="341"/>
      <c r="AF271" s="341"/>
      <c r="AG271" s="341"/>
    </row>
    <row r="272" spans="1:33" ht="122.4" customHeight="1" thickBot="1" x14ac:dyDescent="0.45">
      <c r="A272" s="341"/>
      <c r="B272" s="341"/>
      <c r="C272" s="341"/>
      <c r="D272" s="713"/>
      <c r="E272" s="341"/>
      <c r="F272" s="442"/>
      <c r="G272" s="341"/>
      <c r="H272" s="341"/>
      <c r="I272" s="341"/>
      <c r="J272" s="341"/>
      <c r="K272" s="341"/>
      <c r="L272" s="341"/>
      <c r="M272" s="577"/>
      <c r="N272" s="341"/>
      <c r="O272" s="341"/>
      <c r="P272" s="341"/>
      <c r="Q272" s="341"/>
      <c r="R272" s="341"/>
      <c r="S272" s="341"/>
      <c r="T272" s="341"/>
      <c r="U272" s="341"/>
      <c r="V272" s="341"/>
      <c r="W272" s="341"/>
      <c r="X272" s="341"/>
      <c r="Y272" s="341"/>
      <c r="Z272" s="341"/>
      <c r="AA272" s="341"/>
      <c r="AB272" s="341"/>
      <c r="AC272" s="341"/>
      <c r="AD272" s="341"/>
      <c r="AE272" s="341"/>
      <c r="AF272" s="341"/>
      <c r="AG272" s="341"/>
    </row>
    <row r="273" spans="1:33" ht="122.4" customHeight="1" thickBot="1" x14ac:dyDescent="0.45">
      <c r="A273" s="341"/>
      <c r="B273" s="341"/>
      <c r="C273" s="341"/>
      <c r="D273" s="713"/>
      <c r="E273" s="341"/>
      <c r="F273" s="442"/>
      <c r="G273" s="341"/>
      <c r="H273" s="341"/>
      <c r="I273" s="341"/>
      <c r="J273" s="341"/>
      <c r="K273" s="341"/>
      <c r="L273" s="341"/>
      <c r="M273" s="577"/>
      <c r="N273" s="341"/>
      <c r="O273" s="341"/>
      <c r="P273" s="341"/>
      <c r="Q273" s="341"/>
      <c r="R273" s="341"/>
      <c r="S273" s="341"/>
      <c r="T273" s="341"/>
      <c r="U273" s="341"/>
      <c r="V273" s="341"/>
      <c r="W273" s="341"/>
      <c r="X273" s="341"/>
      <c r="Y273" s="341"/>
      <c r="Z273" s="341"/>
      <c r="AA273" s="341"/>
      <c r="AB273" s="341"/>
      <c r="AC273" s="341"/>
      <c r="AD273" s="341"/>
      <c r="AE273" s="341"/>
      <c r="AF273" s="341"/>
      <c r="AG273" s="341"/>
    </row>
    <row r="274" spans="1:33" ht="122.4" customHeight="1" thickBot="1" x14ac:dyDescent="0.45">
      <c r="A274" s="341"/>
      <c r="B274" s="341"/>
      <c r="C274" s="341"/>
      <c r="D274" s="713"/>
      <c r="E274" s="341"/>
      <c r="F274" s="442"/>
      <c r="G274" s="341"/>
      <c r="H274" s="341"/>
      <c r="I274" s="341"/>
      <c r="J274" s="341"/>
      <c r="K274" s="341"/>
      <c r="L274" s="341"/>
      <c r="M274" s="577"/>
      <c r="N274" s="341"/>
      <c r="O274" s="341"/>
      <c r="P274" s="341"/>
      <c r="Q274" s="341"/>
      <c r="R274" s="341"/>
      <c r="S274" s="341"/>
      <c r="T274" s="341"/>
      <c r="U274" s="341"/>
      <c r="V274" s="341"/>
      <c r="W274" s="341"/>
      <c r="X274" s="341"/>
      <c r="Y274" s="341"/>
      <c r="Z274" s="341"/>
      <c r="AA274" s="341"/>
      <c r="AB274" s="341"/>
      <c r="AC274" s="341"/>
      <c r="AD274" s="341"/>
      <c r="AE274" s="341"/>
      <c r="AF274" s="341"/>
      <c r="AG274" s="341"/>
    </row>
    <row r="275" spans="1:33" ht="122.4" customHeight="1" thickBot="1" x14ac:dyDescent="0.45">
      <c r="A275" s="341"/>
      <c r="B275" s="341"/>
      <c r="C275" s="341"/>
      <c r="D275" s="713"/>
      <c r="E275" s="341"/>
      <c r="F275" s="442"/>
      <c r="G275" s="341"/>
      <c r="H275" s="341"/>
      <c r="I275" s="341"/>
      <c r="J275" s="341"/>
      <c r="K275" s="341"/>
      <c r="L275" s="341"/>
      <c r="M275" s="577"/>
      <c r="N275" s="341"/>
      <c r="O275" s="341"/>
      <c r="P275" s="341"/>
      <c r="Q275" s="341"/>
      <c r="R275" s="341"/>
      <c r="S275" s="341"/>
      <c r="T275" s="341"/>
      <c r="U275" s="341"/>
      <c r="V275" s="341"/>
      <c r="W275" s="341"/>
      <c r="X275" s="341"/>
      <c r="Y275" s="341"/>
      <c r="Z275" s="341"/>
      <c r="AA275" s="341"/>
      <c r="AB275" s="341"/>
      <c r="AC275" s="341"/>
      <c r="AD275" s="341"/>
      <c r="AE275" s="341"/>
      <c r="AF275" s="341"/>
      <c r="AG275" s="341"/>
    </row>
    <row r="276" spans="1:33" ht="122.4" customHeight="1" thickBot="1" x14ac:dyDescent="0.45">
      <c r="A276" s="341"/>
      <c r="B276" s="341"/>
      <c r="C276" s="341"/>
      <c r="D276" s="713"/>
      <c r="E276" s="341"/>
      <c r="F276" s="442"/>
      <c r="G276" s="341"/>
      <c r="H276" s="341"/>
      <c r="I276" s="341"/>
      <c r="J276" s="341"/>
      <c r="K276" s="341"/>
      <c r="L276" s="341"/>
      <c r="M276" s="577"/>
      <c r="N276" s="341"/>
      <c r="O276" s="341"/>
      <c r="P276" s="341"/>
      <c r="Q276" s="341"/>
      <c r="R276" s="341"/>
      <c r="S276" s="341"/>
      <c r="T276" s="341"/>
      <c r="U276" s="341"/>
      <c r="V276" s="341"/>
      <c r="W276" s="341"/>
      <c r="X276" s="341"/>
      <c r="Y276" s="341"/>
      <c r="Z276" s="341"/>
      <c r="AA276" s="341"/>
      <c r="AB276" s="341"/>
      <c r="AC276" s="341"/>
      <c r="AD276" s="341"/>
      <c r="AE276" s="341"/>
      <c r="AF276" s="341"/>
      <c r="AG276" s="341"/>
    </row>
    <row r="277" spans="1:33" ht="122.4" customHeight="1" thickBot="1" x14ac:dyDescent="0.45">
      <c r="A277" s="341"/>
      <c r="B277" s="341"/>
      <c r="C277" s="341"/>
      <c r="D277" s="713"/>
      <c r="E277" s="341"/>
      <c r="F277" s="442"/>
      <c r="G277" s="341"/>
      <c r="H277" s="341"/>
      <c r="I277" s="341"/>
      <c r="J277" s="341"/>
      <c r="K277" s="341"/>
      <c r="L277" s="341"/>
      <c r="M277" s="577"/>
      <c r="N277" s="341"/>
      <c r="O277" s="341"/>
      <c r="P277" s="341"/>
      <c r="Q277" s="341"/>
      <c r="R277" s="341"/>
      <c r="S277" s="341"/>
      <c r="T277" s="341"/>
      <c r="U277" s="341"/>
      <c r="V277" s="341"/>
      <c r="W277" s="341"/>
      <c r="X277" s="341"/>
      <c r="Y277" s="341"/>
      <c r="Z277" s="341"/>
      <c r="AA277" s="341"/>
      <c r="AB277" s="341"/>
      <c r="AC277" s="341"/>
      <c r="AD277" s="341"/>
      <c r="AE277" s="341"/>
      <c r="AF277" s="341"/>
      <c r="AG277" s="341"/>
    </row>
    <row r="278" spans="1:33" ht="122.4" customHeight="1" thickBot="1" x14ac:dyDescent="0.45">
      <c r="A278" s="341"/>
      <c r="B278" s="341"/>
      <c r="C278" s="341"/>
      <c r="D278" s="713"/>
      <c r="E278" s="341"/>
      <c r="F278" s="442"/>
      <c r="G278" s="341"/>
      <c r="H278" s="341"/>
      <c r="I278" s="341"/>
      <c r="J278" s="341"/>
      <c r="K278" s="341"/>
      <c r="L278" s="341"/>
      <c r="M278" s="577"/>
      <c r="N278" s="341"/>
      <c r="O278" s="341"/>
      <c r="P278" s="341"/>
      <c r="Q278" s="341"/>
      <c r="R278" s="341"/>
      <c r="S278" s="341"/>
      <c r="T278" s="341"/>
      <c r="U278" s="341"/>
      <c r="V278" s="341"/>
      <c r="W278" s="341"/>
      <c r="X278" s="341"/>
      <c r="Y278" s="341"/>
      <c r="Z278" s="341"/>
      <c r="AA278" s="341"/>
      <c r="AB278" s="341"/>
      <c r="AC278" s="341"/>
      <c r="AD278" s="341"/>
      <c r="AE278" s="341"/>
      <c r="AF278" s="341"/>
      <c r="AG278" s="341"/>
    </row>
    <row r="279" spans="1:33" ht="122.4" customHeight="1" thickBot="1" x14ac:dyDescent="0.45">
      <c r="A279" s="341"/>
      <c r="B279" s="341"/>
      <c r="C279" s="341"/>
      <c r="D279" s="713"/>
      <c r="E279" s="341"/>
      <c r="F279" s="442"/>
      <c r="G279" s="341"/>
      <c r="H279" s="341"/>
      <c r="I279" s="341"/>
      <c r="J279" s="341"/>
      <c r="K279" s="341"/>
      <c r="L279" s="341"/>
      <c r="M279" s="577"/>
      <c r="N279" s="341"/>
      <c r="O279" s="341"/>
      <c r="P279" s="341"/>
      <c r="Q279" s="341"/>
      <c r="R279" s="341"/>
      <c r="S279" s="341"/>
      <c r="T279" s="341"/>
      <c r="U279" s="341"/>
      <c r="V279" s="341"/>
      <c r="W279" s="341"/>
      <c r="X279" s="341"/>
      <c r="Y279" s="341"/>
      <c r="Z279" s="341"/>
      <c r="AA279" s="341"/>
      <c r="AB279" s="341"/>
      <c r="AC279" s="341"/>
      <c r="AD279" s="341"/>
      <c r="AE279" s="341"/>
      <c r="AF279" s="341"/>
      <c r="AG279" s="341"/>
    </row>
    <row r="280" spans="1:33" ht="122.4" customHeight="1" thickBot="1" x14ac:dyDescent="0.45">
      <c r="A280" s="341"/>
      <c r="B280" s="341"/>
      <c r="C280" s="341"/>
      <c r="D280" s="713"/>
      <c r="E280" s="341"/>
      <c r="F280" s="442"/>
      <c r="G280" s="341"/>
      <c r="H280" s="341"/>
      <c r="I280" s="341"/>
      <c r="J280" s="341"/>
      <c r="K280" s="341"/>
      <c r="L280" s="341"/>
      <c r="M280" s="577"/>
      <c r="N280" s="341"/>
      <c r="O280" s="341"/>
      <c r="P280" s="341"/>
      <c r="Q280" s="341"/>
      <c r="R280" s="341"/>
      <c r="S280" s="341"/>
      <c r="T280" s="341"/>
      <c r="U280" s="341"/>
      <c r="V280" s="341"/>
      <c r="W280" s="341"/>
      <c r="X280" s="341"/>
      <c r="Y280" s="341"/>
      <c r="Z280" s="341"/>
      <c r="AA280" s="341"/>
      <c r="AB280" s="341"/>
      <c r="AC280" s="341"/>
      <c r="AD280" s="341"/>
      <c r="AE280" s="341"/>
      <c r="AF280" s="341"/>
      <c r="AG280" s="341"/>
    </row>
    <row r="281" spans="1:33" ht="122.4" customHeight="1" thickBot="1" x14ac:dyDescent="0.45">
      <c r="A281" s="341"/>
      <c r="B281" s="341"/>
      <c r="C281" s="341"/>
      <c r="D281" s="713"/>
      <c r="E281" s="341"/>
      <c r="F281" s="442"/>
      <c r="G281" s="341"/>
      <c r="H281" s="341"/>
      <c r="I281" s="341"/>
      <c r="J281" s="341"/>
      <c r="K281" s="341"/>
      <c r="L281" s="341"/>
      <c r="M281" s="577"/>
      <c r="N281" s="341"/>
      <c r="O281" s="341"/>
      <c r="P281" s="341"/>
      <c r="Q281" s="341"/>
      <c r="R281" s="341"/>
      <c r="S281" s="341"/>
      <c r="T281" s="341"/>
      <c r="U281" s="341"/>
      <c r="V281" s="341"/>
      <c r="W281" s="341"/>
      <c r="X281" s="341"/>
      <c r="Y281" s="341"/>
      <c r="Z281" s="341"/>
      <c r="AA281" s="341"/>
      <c r="AB281" s="341"/>
      <c r="AC281" s="341"/>
      <c r="AD281" s="341"/>
      <c r="AE281" s="341"/>
      <c r="AF281" s="341"/>
      <c r="AG281" s="341"/>
    </row>
    <row r="282" spans="1:33" ht="122.4" customHeight="1" thickBot="1" x14ac:dyDescent="0.45">
      <c r="A282" s="341"/>
      <c r="B282" s="341"/>
      <c r="C282" s="341"/>
      <c r="D282" s="713"/>
      <c r="E282" s="341"/>
      <c r="F282" s="442"/>
      <c r="G282" s="341"/>
      <c r="H282" s="341"/>
      <c r="I282" s="341"/>
      <c r="J282" s="341"/>
      <c r="K282" s="341"/>
      <c r="L282" s="341"/>
      <c r="M282" s="577"/>
      <c r="N282" s="341"/>
      <c r="O282" s="341"/>
      <c r="P282" s="341"/>
      <c r="Q282" s="341"/>
      <c r="R282" s="341"/>
      <c r="S282" s="341"/>
      <c r="T282" s="341"/>
      <c r="U282" s="341"/>
      <c r="V282" s="341"/>
      <c r="W282" s="341"/>
      <c r="X282" s="341"/>
      <c r="Y282" s="341"/>
      <c r="Z282" s="341"/>
      <c r="AA282" s="341"/>
      <c r="AB282" s="341"/>
      <c r="AC282" s="341"/>
      <c r="AD282" s="341"/>
      <c r="AE282" s="341"/>
      <c r="AF282" s="341"/>
      <c r="AG282" s="341"/>
    </row>
    <row r="283" spans="1:33" ht="122.4" customHeight="1" thickBot="1" x14ac:dyDescent="0.45">
      <c r="A283" s="341"/>
      <c r="B283" s="341"/>
      <c r="C283" s="341"/>
      <c r="D283" s="713"/>
      <c r="E283" s="341"/>
      <c r="F283" s="442"/>
      <c r="G283" s="341"/>
      <c r="H283" s="341"/>
      <c r="I283" s="341"/>
      <c r="J283" s="341"/>
      <c r="K283" s="341"/>
      <c r="L283" s="341"/>
      <c r="M283" s="577"/>
      <c r="N283" s="341"/>
      <c r="O283" s="341"/>
      <c r="P283" s="341"/>
      <c r="Q283" s="341"/>
      <c r="R283" s="341"/>
      <c r="S283" s="341"/>
      <c r="T283" s="341"/>
      <c r="U283" s="341"/>
      <c r="V283" s="341"/>
      <c r="W283" s="341"/>
      <c r="X283" s="341"/>
      <c r="Y283" s="341"/>
      <c r="Z283" s="341"/>
      <c r="AA283" s="341"/>
      <c r="AB283" s="341"/>
      <c r="AC283" s="341"/>
      <c r="AD283" s="341"/>
      <c r="AE283" s="341"/>
      <c r="AF283" s="341"/>
      <c r="AG283" s="341"/>
    </row>
    <row r="284" spans="1:33" ht="122.4" customHeight="1" thickBot="1" x14ac:dyDescent="0.45">
      <c r="A284" s="341"/>
      <c r="B284" s="341"/>
      <c r="C284" s="341"/>
      <c r="D284" s="713"/>
      <c r="E284" s="341"/>
      <c r="F284" s="442"/>
      <c r="G284" s="341"/>
      <c r="H284" s="341"/>
      <c r="I284" s="341"/>
      <c r="J284" s="341"/>
      <c r="K284" s="341"/>
      <c r="L284" s="341"/>
      <c r="M284" s="577"/>
      <c r="N284" s="341"/>
      <c r="O284" s="341"/>
      <c r="P284" s="341"/>
      <c r="Q284" s="341"/>
      <c r="R284" s="341"/>
      <c r="S284" s="341"/>
      <c r="T284" s="341"/>
      <c r="U284" s="341"/>
      <c r="V284" s="341"/>
      <c r="W284" s="341"/>
      <c r="X284" s="341"/>
      <c r="Y284" s="341"/>
      <c r="Z284" s="341"/>
      <c r="AA284" s="341"/>
      <c r="AB284" s="341"/>
      <c r="AC284" s="341"/>
      <c r="AD284" s="341"/>
      <c r="AE284" s="341"/>
      <c r="AF284" s="341"/>
      <c r="AG284" s="341"/>
    </row>
    <row r="285" spans="1:33" ht="122.4" customHeight="1" thickBot="1" x14ac:dyDescent="0.45">
      <c r="A285" s="341"/>
      <c r="B285" s="341"/>
      <c r="C285" s="341"/>
      <c r="D285" s="713"/>
      <c r="E285" s="341"/>
      <c r="F285" s="442"/>
      <c r="G285" s="341"/>
      <c r="H285" s="341"/>
      <c r="I285" s="341"/>
      <c r="J285" s="341"/>
      <c r="K285" s="341"/>
      <c r="L285" s="341"/>
      <c r="M285" s="577"/>
      <c r="N285" s="341"/>
      <c r="O285" s="341"/>
      <c r="P285" s="341"/>
      <c r="Q285" s="341"/>
      <c r="R285" s="341"/>
      <c r="S285" s="341"/>
      <c r="T285" s="341"/>
      <c r="U285" s="341"/>
      <c r="V285" s="341"/>
      <c r="W285" s="341"/>
      <c r="X285" s="341"/>
      <c r="Y285" s="341"/>
      <c r="Z285" s="341"/>
      <c r="AA285" s="341"/>
      <c r="AB285" s="341"/>
      <c r="AC285" s="341"/>
      <c r="AD285" s="341"/>
      <c r="AE285" s="341"/>
      <c r="AF285" s="341"/>
      <c r="AG285" s="341"/>
    </row>
    <row r="286" spans="1:33" ht="122.4" customHeight="1" thickBot="1" x14ac:dyDescent="0.45">
      <c r="A286" s="341"/>
      <c r="B286" s="341"/>
      <c r="C286" s="341"/>
      <c r="D286" s="713"/>
      <c r="E286" s="341"/>
      <c r="F286" s="442"/>
      <c r="G286" s="341"/>
      <c r="H286" s="341"/>
      <c r="I286" s="341"/>
      <c r="J286" s="341"/>
      <c r="K286" s="341"/>
      <c r="L286" s="341"/>
      <c r="M286" s="577"/>
      <c r="N286" s="341"/>
      <c r="O286" s="341"/>
      <c r="P286" s="341"/>
      <c r="Q286" s="341"/>
      <c r="R286" s="341"/>
      <c r="S286" s="341"/>
      <c r="T286" s="341"/>
      <c r="U286" s="341"/>
      <c r="V286" s="341"/>
      <c r="W286" s="341"/>
      <c r="X286" s="341"/>
      <c r="Y286" s="341"/>
      <c r="Z286" s="341"/>
      <c r="AA286" s="341"/>
      <c r="AB286" s="341"/>
      <c r="AC286" s="341"/>
      <c r="AD286" s="341"/>
      <c r="AE286" s="341"/>
      <c r="AF286" s="341"/>
      <c r="AG286" s="341"/>
    </row>
    <row r="287" spans="1:33" ht="122.4" customHeight="1" thickBot="1" x14ac:dyDescent="0.45">
      <c r="A287" s="341"/>
      <c r="B287" s="341"/>
      <c r="C287" s="341"/>
      <c r="D287" s="713"/>
      <c r="E287" s="341"/>
      <c r="F287" s="442"/>
      <c r="G287" s="341"/>
      <c r="H287" s="341"/>
      <c r="I287" s="341"/>
      <c r="J287" s="341"/>
      <c r="K287" s="341"/>
      <c r="L287" s="341"/>
      <c r="M287" s="577"/>
      <c r="N287" s="341"/>
      <c r="O287" s="341"/>
      <c r="P287" s="341"/>
      <c r="Q287" s="341"/>
      <c r="R287" s="341"/>
      <c r="S287" s="341"/>
      <c r="T287" s="341"/>
      <c r="U287" s="341"/>
      <c r="V287" s="341"/>
      <c r="W287" s="341"/>
      <c r="X287" s="341"/>
      <c r="Y287" s="341"/>
      <c r="Z287" s="341"/>
      <c r="AA287" s="341"/>
      <c r="AB287" s="341"/>
      <c r="AC287" s="341"/>
      <c r="AD287" s="341"/>
      <c r="AE287" s="341"/>
      <c r="AF287" s="341"/>
      <c r="AG287" s="341"/>
    </row>
    <row r="288" spans="1:33" ht="122.4" customHeight="1" thickBot="1" x14ac:dyDescent="0.45">
      <c r="A288" s="341"/>
      <c r="B288" s="341"/>
      <c r="C288" s="341"/>
      <c r="D288" s="713"/>
      <c r="E288" s="341"/>
      <c r="F288" s="442"/>
      <c r="G288" s="341"/>
      <c r="H288" s="341"/>
      <c r="I288" s="341"/>
      <c r="J288" s="341"/>
      <c r="K288" s="341"/>
      <c r="L288" s="341"/>
      <c r="M288" s="577"/>
      <c r="N288" s="341"/>
      <c r="O288" s="341"/>
      <c r="P288" s="341"/>
      <c r="Q288" s="341"/>
      <c r="R288" s="341"/>
      <c r="S288" s="341"/>
      <c r="T288" s="341"/>
      <c r="U288" s="341"/>
      <c r="V288" s="341"/>
      <c r="W288" s="341"/>
      <c r="X288" s="341"/>
      <c r="Y288" s="341"/>
      <c r="Z288" s="341"/>
      <c r="AA288" s="341"/>
      <c r="AB288" s="341"/>
      <c r="AC288" s="341"/>
      <c r="AD288" s="341"/>
      <c r="AE288" s="341"/>
      <c r="AF288" s="341"/>
      <c r="AG288" s="341"/>
    </row>
    <row r="289" spans="1:33" ht="122.4" customHeight="1" thickBot="1" x14ac:dyDescent="0.45">
      <c r="A289" s="341"/>
      <c r="B289" s="341"/>
      <c r="C289" s="341"/>
      <c r="D289" s="713"/>
      <c r="E289" s="341"/>
      <c r="F289" s="442"/>
      <c r="G289" s="341"/>
      <c r="H289" s="341"/>
      <c r="I289" s="341"/>
      <c r="J289" s="341"/>
      <c r="K289" s="341"/>
      <c r="L289" s="341"/>
      <c r="M289" s="577"/>
      <c r="N289" s="341"/>
      <c r="O289" s="341"/>
      <c r="P289" s="341"/>
      <c r="Q289" s="341"/>
      <c r="R289" s="341"/>
      <c r="S289" s="341"/>
      <c r="T289" s="341"/>
      <c r="U289" s="341"/>
      <c r="V289" s="341"/>
      <c r="W289" s="341"/>
      <c r="X289" s="341"/>
      <c r="Y289" s="341"/>
      <c r="Z289" s="341"/>
      <c r="AA289" s="341"/>
      <c r="AB289" s="341"/>
      <c r="AC289" s="341"/>
      <c r="AD289" s="341"/>
      <c r="AE289" s="341"/>
      <c r="AF289" s="341"/>
      <c r="AG289" s="341"/>
    </row>
    <row r="290" spans="1:33" ht="122.4" customHeight="1" thickBot="1" x14ac:dyDescent="0.45">
      <c r="A290" s="341"/>
      <c r="B290" s="341"/>
      <c r="C290" s="341"/>
      <c r="D290" s="713"/>
      <c r="E290" s="341"/>
      <c r="F290" s="442"/>
      <c r="G290" s="341"/>
      <c r="H290" s="341"/>
      <c r="I290" s="341"/>
      <c r="J290" s="341"/>
      <c r="K290" s="341"/>
      <c r="L290" s="341"/>
      <c r="M290" s="577"/>
      <c r="N290" s="341"/>
      <c r="O290" s="341"/>
      <c r="P290" s="341"/>
      <c r="Q290" s="341"/>
      <c r="R290" s="341"/>
      <c r="S290" s="341"/>
      <c r="T290" s="341"/>
      <c r="U290" s="341"/>
      <c r="V290" s="341"/>
      <c r="W290" s="341"/>
      <c r="X290" s="341"/>
      <c r="Y290" s="341"/>
      <c r="Z290" s="341"/>
      <c r="AA290" s="341"/>
      <c r="AB290" s="341"/>
      <c r="AC290" s="341"/>
      <c r="AD290" s="341"/>
      <c r="AE290" s="341"/>
      <c r="AF290" s="341"/>
      <c r="AG290" s="341"/>
    </row>
    <row r="291" spans="1:33" ht="122.4" customHeight="1" thickBot="1" x14ac:dyDescent="0.45">
      <c r="A291" s="341"/>
      <c r="B291" s="341"/>
      <c r="C291" s="341"/>
      <c r="D291" s="713"/>
      <c r="E291" s="341"/>
      <c r="F291" s="442"/>
      <c r="G291" s="341"/>
      <c r="H291" s="341"/>
      <c r="I291" s="341"/>
      <c r="J291" s="341"/>
      <c r="K291" s="341"/>
      <c r="L291" s="341"/>
      <c r="M291" s="577"/>
      <c r="N291" s="341"/>
      <c r="O291" s="341"/>
      <c r="P291" s="341"/>
      <c r="Q291" s="341"/>
      <c r="R291" s="341"/>
      <c r="S291" s="341"/>
      <c r="T291" s="341"/>
      <c r="U291" s="341"/>
      <c r="V291" s="341"/>
      <c r="W291" s="341"/>
      <c r="X291" s="341"/>
      <c r="Y291" s="341"/>
      <c r="Z291" s="341"/>
      <c r="AA291" s="341"/>
      <c r="AB291" s="341"/>
      <c r="AC291" s="341"/>
      <c r="AD291" s="341"/>
      <c r="AE291" s="341"/>
      <c r="AF291" s="341"/>
      <c r="AG291" s="341"/>
    </row>
    <row r="292" spans="1:33" ht="122.4" customHeight="1" thickBot="1" x14ac:dyDescent="0.45">
      <c r="A292" s="341"/>
      <c r="B292" s="341"/>
      <c r="C292" s="341"/>
      <c r="D292" s="713"/>
      <c r="E292" s="341"/>
      <c r="F292" s="442"/>
      <c r="G292" s="341"/>
      <c r="H292" s="341"/>
      <c r="I292" s="341"/>
      <c r="J292" s="341"/>
      <c r="K292" s="341"/>
      <c r="L292" s="341"/>
      <c r="M292" s="577"/>
      <c r="N292" s="341"/>
      <c r="O292" s="341"/>
      <c r="P292" s="341"/>
      <c r="Q292" s="341"/>
      <c r="R292" s="341"/>
      <c r="S292" s="341"/>
      <c r="T292" s="341"/>
      <c r="U292" s="341"/>
      <c r="V292" s="341"/>
      <c r="W292" s="341"/>
      <c r="X292" s="341"/>
      <c r="Y292" s="341"/>
      <c r="Z292" s="341"/>
      <c r="AA292" s="341"/>
      <c r="AB292" s="341"/>
      <c r="AC292" s="341"/>
      <c r="AD292" s="341"/>
      <c r="AE292" s="341"/>
      <c r="AF292" s="341"/>
      <c r="AG292" s="341"/>
    </row>
    <row r="293" spans="1:33" ht="122.4" customHeight="1" thickBot="1" x14ac:dyDescent="0.45">
      <c r="A293" s="341"/>
      <c r="B293" s="341"/>
      <c r="C293" s="341"/>
      <c r="D293" s="713"/>
      <c r="E293" s="341"/>
      <c r="F293" s="442"/>
      <c r="G293" s="341"/>
      <c r="H293" s="341"/>
      <c r="I293" s="341"/>
      <c r="J293" s="341"/>
      <c r="K293" s="341"/>
      <c r="L293" s="341"/>
      <c r="M293" s="577"/>
      <c r="N293" s="341"/>
      <c r="O293" s="341"/>
      <c r="P293" s="341"/>
      <c r="Q293" s="341"/>
      <c r="R293" s="341"/>
      <c r="S293" s="341"/>
      <c r="T293" s="341"/>
      <c r="U293" s="341"/>
      <c r="V293" s="341"/>
      <c r="W293" s="341"/>
      <c r="X293" s="341"/>
      <c r="Y293" s="341"/>
      <c r="Z293" s="341"/>
      <c r="AA293" s="341"/>
      <c r="AB293" s="341"/>
      <c r="AC293" s="341"/>
      <c r="AD293" s="341"/>
      <c r="AE293" s="341"/>
      <c r="AF293" s="341"/>
      <c r="AG293" s="341"/>
    </row>
    <row r="294" spans="1:33" ht="122.4" customHeight="1" thickBot="1" x14ac:dyDescent="0.45">
      <c r="A294" s="341"/>
      <c r="B294" s="341"/>
      <c r="C294" s="341"/>
      <c r="D294" s="713"/>
      <c r="E294" s="341"/>
      <c r="F294" s="442"/>
      <c r="G294" s="341"/>
      <c r="H294" s="341"/>
      <c r="I294" s="341"/>
      <c r="J294" s="341"/>
      <c r="K294" s="341"/>
      <c r="L294" s="341"/>
      <c r="M294" s="577"/>
      <c r="N294" s="341"/>
      <c r="O294" s="341"/>
      <c r="P294" s="341"/>
      <c r="Q294" s="341"/>
      <c r="R294" s="341"/>
      <c r="S294" s="341"/>
      <c r="T294" s="341"/>
      <c r="U294" s="341"/>
      <c r="V294" s="341"/>
      <c r="W294" s="341"/>
      <c r="X294" s="341"/>
      <c r="Y294" s="341"/>
      <c r="Z294" s="341"/>
      <c r="AA294" s="341"/>
      <c r="AB294" s="341"/>
      <c r="AC294" s="341"/>
      <c r="AD294" s="341"/>
      <c r="AE294" s="341"/>
      <c r="AF294" s="341"/>
      <c r="AG294" s="341"/>
    </row>
    <row r="295" spans="1:33" ht="122.4" customHeight="1" thickBot="1" x14ac:dyDescent="0.45">
      <c r="A295" s="341"/>
      <c r="B295" s="341"/>
      <c r="C295" s="341"/>
      <c r="D295" s="713"/>
      <c r="E295" s="341"/>
      <c r="F295" s="442"/>
      <c r="G295" s="341"/>
      <c r="H295" s="341"/>
      <c r="I295" s="341"/>
      <c r="J295" s="341"/>
      <c r="K295" s="341"/>
      <c r="L295" s="341"/>
      <c r="M295" s="577"/>
      <c r="N295" s="341"/>
      <c r="O295" s="341"/>
      <c r="P295" s="341"/>
      <c r="Q295" s="341"/>
      <c r="R295" s="341"/>
      <c r="S295" s="341"/>
      <c r="T295" s="341"/>
      <c r="U295" s="341"/>
      <c r="V295" s="341"/>
      <c r="W295" s="341"/>
      <c r="X295" s="341"/>
      <c r="Y295" s="341"/>
      <c r="Z295" s="341"/>
      <c r="AA295" s="341"/>
      <c r="AB295" s="341"/>
      <c r="AC295" s="341"/>
      <c r="AD295" s="341"/>
      <c r="AE295" s="341"/>
      <c r="AF295" s="341"/>
      <c r="AG295" s="341"/>
    </row>
    <row r="296" spans="1:33" ht="122.4" customHeight="1" thickBot="1" x14ac:dyDescent="0.45">
      <c r="A296" s="341"/>
      <c r="B296" s="341"/>
      <c r="C296" s="341"/>
      <c r="D296" s="713"/>
      <c r="E296" s="341"/>
      <c r="F296" s="442"/>
      <c r="G296" s="341"/>
      <c r="H296" s="341"/>
      <c r="I296" s="341"/>
      <c r="J296" s="341"/>
      <c r="K296" s="341"/>
      <c r="L296" s="341"/>
      <c r="M296" s="577"/>
      <c r="N296" s="341"/>
      <c r="O296" s="341"/>
      <c r="P296" s="341"/>
      <c r="Q296" s="341"/>
      <c r="R296" s="341"/>
      <c r="S296" s="341"/>
      <c r="T296" s="341"/>
      <c r="U296" s="341"/>
      <c r="V296" s="341"/>
      <c r="W296" s="341"/>
      <c r="X296" s="341"/>
      <c r="Y296" s="341"/>
      <c r="Z296" s="341"/>
      <c r="AA296" s="341"/>
      <c r="AB296" s="341"/>
      <c r="AC296" s="341"/>
      <c r="AD296" s="341"/>
      <c r="AE296" s="341"/>
      <c r="AF296" s="341"/>
      <c r="AG296" s="341"/>
    </row>
    <row r="297" spans="1:33" ht="122.4" customHeight="1" thickBot="1" x14ac:dyDescent="0.45">
      <c r="A297" s="341"/>
      <c r="B297" s="341"/>
      <c r="C297" s="341"/>
      <c r="D297" s="713"/>
      <c r="E297" s="341"/>
      <c r="F297" s="442"/>
      <c r="G297" s="341"/>
      <c r="H297" s="341"/>
      <c r="I297" s="341"/>
      <c r="J297" s="341"/>
      <c r="K297" s="341"/>
      <c r="L297" s="341"/>
      <c r="M297" s="577"/>
      <c r="N297" s="341"/>
      <c r="O297" s="341"/>
      <c r="P297" s="341"/>
      <c r="Q297" s="341"/>
      <c r="R297" s="341"/>
      <c r="S297" s="341"/>
      <c r="T297" s="341"/>
      <c r="U297" s="341"/>
      <c r="V297" s="341"/>
      <c r="W297" s="341"/>
      <c r="X297" s="341"/>
      <c r="Y297" s="341"/>
      <c r="Z297" s="341"/>
      <c r="AA297" s="341"/>
      <c r="AB297" s="341"/>
      <c r="AC297" s="341"/>
      <c r="AD297" s="341"/>
      <c r="AE297" s="341"/>
      <c r="AF297" s="341"/>
      <c r="AG297" s="341"/>
    </row>
    <row r="298" spans="1:33" ht="122.4" customHeight="1" thickBot="1" x14ac:dyDescent="0.45">
      <c r="A298" s="341"/>
      <c r="B298" s="341"/>
      <c r="C298" s="341"/>
      <c r="D298" s="713"/>
      <c r="E298" s="341"/>
      <c r="F298" s="442"/>
      <c r="G298" s="341"/>
      <c r="H298" s="341"/>
      <c r="I298" s="341"/>
      <c r="J298" s="341"/>
      <c r="K298" s="341"/>
      <c r="L298" s="341"/>
      <c r="M298" s="577"/>
      <c r="N298" s="341"/>
      <c r="O298" s="341"/>
      <c r="P298" s="341"/>
      <c r="Q298" s="341"/>
      <c r="R298" s="341"/>
      <c r="S298" s="341"/>
      <c r="T298" s="341"/>
      <c r="U298" s="341"/>
      <c r="V298" s="341"/>
      <c r="W298" s="341"/>
      <c r="X298" s="341"/>
      <c r="Y298" s="341"/>
      <c r="Z298" s="341"/>
      <c r="AA298" s="341"/>
      <c r="AB298" s="341"/>
      <c r="AC298" s="341"/>
      <c r="AD298" s="341"/>
      <c r="AE298" s="341"/>
      <c r="AF298" s="341"/>
      <c r="AG298" s="341"/>
    </row>
    <row r="299" spans="1:33" ht="122.4" customHeight="1" thickBot="1" x14ac:dyDescent="0.45">
      <c r="A299" s="341"/>
      <c r="B299" s="341"/>
      <c r="C299" s="341"/>
      <c r="D299" s="713"/>
      <c r="E299" s="341"/>
      <c r="F299" s="442"/>
      <c r="G299" s="341"/>
      <c r="H299" s="341"/>
      <c r="I299" s="341"/>
      <c r="J299" s="341"/>
      <c r="K299" s="341"/>
      <c r="L299" s="341"/>
      <c r="M299" s="577"/>
      <c r="N299" s="341"/>
      <c r="O299" s="341"/>
      <c r="P299" s="341"/>
      <c r="Q299" s="341"/>
      <c r="R299" s="341"/>
      <c r="S299" s="341"/>
      <c r="T299" s="341"/>
      <c r="U299" s="341"/>
      <c r="V299" s="341"/>
      <c r="W299" s="341"/>
      <c r="X299" s="341"/>
      <c r="Y299" s="341"/>
      <c r="Z299" s="341"/>
      <c r="AA299" s="341"/>
      <c r="AB299" s="341"/>
      <c r="AC299" s="341"/>
      <c r="AD299" s="341"/>
      <c r="AE299" s="341"/>
      <c r="AF299" s="341"/>
      <c r="AG299" s="341"/>
    </row>
    <row r="300" spans="1:33" ht="122.4" customHeight="1" thickBot="1" x14ac:dyDescent="0.45">
      <c r="A300" s="341"/>
      <c r="B300" s="341"/>
      <c r="C300" s="341"/>
      <c r="D300" s="713"/>
      <c r="E300" s="341"/>
      <c r="F300" s="442"/>
      <c r="G300" s="341"/>
      <c r="H300" s="341"/>
      <c r="I300" s="341"/>
      <c r="J300" s="341"/>
      <c r="K300" s="341"/>
      <c r="L300" s="341"/>
      <c r="M300" s="577"/>
      <c r="N300" s="341"/>
      <c r="O300" s="341"/>
      <c r="P300" s="341"/>
      <c r="Q300" s="341"/>
      <c r="R300" s="341"/>
      <c r="S300" s="341"/>
      <c r="T300" s="341"/>
      <c r="U300" s="341"/>
      <c r="V300" s="341"/>
      <c r="W300" s="341"/>
      <c r="X300" s="341"/>
      <c r="Y300" s="341"/>
      <c r="Z300" s="341"/>
      <c r="AA300" s="341"/>
      <c r="AB300" s="341"/>
      <c r="AC300" s="341"/>
      <c r="AD300" s="341"/>
      <c r="AE300" s="341"/>
      <c r="AF300" s="341"/>
      <c r="AG300" s="341"/>
    </row>
    <row r="301" spans="1:33" ht="122.4" customHeight="1" thickBot="1" x14ac:dyDescent="0.45">
      <c r="A301" s="341"/>
      <c r="B301" s="341"/>
      <c r="C301" s="341"/>
      <c r="D301" s="713"/>
      <c r="E301" s="341"/>
      <c r="F301" s="442"/>
      <c r="G301" s="341"/>
      <c r="H301" s="341"/>
      <c r="I301" s="341"/>
      <c r="J301" s="341"/>
      <c r="K301" s="341"/>
      <c r="L301" s="341"/>
      <c r="M301" s="577"/>
      <c r="N301" s="341"/>
      <c r="O301" s="341"/>
      <c r="P301" s="341"/>
      <c r="Q301" s="341"/>
      <c r="R301" s="341"/>
      <c r="S301" s="341"/>
      <c r="T301" s="341"/>
      <c r="U301" s="341"/>
      <c r="V301" s="341"/>
      <c r="W301" s="341"/>
      <c r="X301" s="341"/>
      <c r="Y301" s="341"/>
      <c r="Z301" s="341"/>
      <c r="AA301" s="341"/>
      <c r="AB301" s="341"/>
      <c r="AC301" s="341"/>
      <c r="AD301" s="341"/>
      <c r="AE301" s="341"/>
      <c r="AF301" s="341"/>
      <c r="AG301" s="341"/>
    </row>
    <row r="302" spans="1:33" ht="122.4" customHeight="1" thickBot="1" x14ac:dyDescent="0.45">
      <c r="A302" s="341"/>
      <c r="B302" s="341"/>
      <c r="C302" s="341"/>
      <c r="D302" s="713"/>
      <c r="E302" s="341"/>
      <c r="F302" s="442"/>
      <c r="G302" s="341"/>
      <c r="H302" s="341"/>
      <c r="I302" s="341"/>
      <c r="J302" s="341"/>
      <c r="K302" s="341"/>
      <c r="L302" s="341"/>
      <c r="M302" s="577"/>
      <c r="N302" s="341"/>
      <c r="O302" s="341"/>
      <c r="P302" s="341"/>
      <c r="Q302" s="341"/>
      <c r="R302" s="341"/>
      <c r="S302" s="341"/>
      <c r="T302" s="341"/>
      <c r="U302" s="341"/>
      <c r="V302" s="341"/>
      <c r="W302" s="341"/>
      <c r="X302" s="341"/>
      <c r="Y302" s="341"/>
      <c r="Z302" s="341"/>
      <c r="AA302" s="341"/>
      <c r="AB302" s="341"/>
      <c r="AC302" s="341"/>
      <c r="AD302" s="341"/>
      <c r="AE302" s="341"/>
      <c r="AF302" s="341"/>
      <c r="AG302" s="341"/>
    </row>
    <row r="303" spans="1:33" ht="122.4" customHeight="1" thickBot="1" x14ac:dyDescent="0.45">
      <c r="A303" s="341"/>
      <c r="B303" s="341"/>
      <c r="C303" s="341"/>
      <c r="D303" s="713"/>
      <c r="E303" s="341"/>
      <c r="F303" s="442"/>
      <c r="G303" s="341"/>
      <c r="H303" s="341"/>
      <c r="I303" s="341"/>
      <c r="J303" s="341"/>
      <c r="K303" s="341"/>
      <c r="L303" s="341"/>
      <c r="M303" s="577"/>
      <c r="N303" s="341"/>
      <c r="O303" s="341"/>
      <c r="P303" s="341"/>
      <c r="Q303" s="341"/>
      <c r="R303" s="341"/>
      <c r="S303" s="341"/>
      <c r="T303" s="341"/>
      <c r="U303" s="341"/>
      <c r="V303" s="341"/>
      <c r="W303" s="341"/>
      <c r="X303" s="341"/>
      <c r="Y303" s="341"/>
      <c r="Z303" s="341"/>
      <c r="AA303" s="341"/>
      <c r="AB303" s="341"/>
      <c r="AC303" s="341"/>
      <c r="AD303" s="341"/>
      <c r="AE303" s="341"/>
      <c r="AF303" s="341"/>
      <c r="AG303" s="341"/>
    </row>
    <row r="304" spans="1:33" ht="122.4" customHeight="1" thickBot="1" x14ac:dyDescent="0.45">
      <c r="A304" s="341"/>
      <c r="B304" s="341"/>
      <c r="C304" s="341"/>
      <c r="D304" s="713"/>
      <c r="E304" s="341"/>
      <c r="F304" s="442"/>
      <c r="G304" s="341"/>
      <c r="H304" s="341"/>
      <c r="I304" s="341"/>
      <c r="J304" s="341"/>
      <c r="K304" s="341"/>
      <c r="L304" s="341"/>
      <c r="M304" s="577"/>
      <c r="N304" s="341"/>
      <c r="O304" s="341"/>
      <c r="P304" s="341"/>
      <c r="Q304" s="341"/>
      <c r="R304" s="341"/>
      <c r="S304" s="341"/>
      <c r="T304" s="341"/>
      <c r="U304" s="341"/>
      <c r="V304" s="341"/>
      <c r="W304" s="341"/>
      <c r="X304" s="341"/>
      <c r="Y304" s="341"/>
      <c r="Z304" s="341"/>
      <c r="AA304" s="341"/>
      <c r="AB304" s="341"/>
      <c r="AC304" s="341"/>
      <c r="AD304" s="341"/>
      <c r="AE304" s="341"/>
      <c r="AF304" s="341"/>
      <c r="AG304" s="341"/>
    </row>
    <row r="305" spans="1:33" ht="122.4" customHeight="1" thickBot="1" x14ac:dyDescent="0.45">
      <c r="A305" s="341"/>
      <c r="B305" s="341"/>
      <c r="C305" s="341"/>
      <c r="D305" s="713"/>
      <c r="E305" s="341"/>
      <c r="F305" s="442"/>
      <c r="G305" s="341"/>
      <c r="H305" s="341"/>
      <c r="I305" s="341"/>
      <c r="J305" s="341"/>
      <c r="K305" s="341"/>
      <c r="L305" s="341"/>
      <c r="M305" s="577"/>
      <c r="N305" s="341"/>
      <c r="O305" s="341"/>
      <c r="P305" s="341"/>
      <c r="Q305" s="341"/>
      <c r="R305" s="341"/>
      <c r="S305" s="341"/>
      <c r="T305" s="341"/>
      <c r="U305" s="341"/>
      <c r="V305" s="341"/>
      <c r="W305" s="341"/>
      <c r="X305" s="341"/>
      <c r="Y305" s="341"/>
      <c r="Z305" s="341"/>
      <c r="AA305" s="341"/>
      <c r="AB305" s="341"/>
      <c r="AC305" s="341"/>
      <c r="AD305" s="341"/>
      <c r="AE305" s="341"/>
      <c r="AF305" s="341"/>
      <c r="AG305" s="341"/>
    </row>
    <row r="306" spans="1:33" ht="122.4" customHeight="1" thickBot="1" x14ac:dyDescent="0.45">
      <c r="A306" s="341"/>
      <c r="B306" s="341"/>
      <c r="C306" s="341"/>
      <c r="D306" s="713"/>
      <c r="E306" s="341"/>
      <c r="F306" s="442"/>
      <c r="G306" s="341"/>
      <c r="H306" s="341"/>
      <c r="I306" s="341"/>
      <c r="J306" s="341"/>
      <c r="K306" s="341"/>
      <c r="L306" s="341"/>
      <c r="M306" s="577"/>
      <c r="N306" s="341"/>
      <c r="O306" s="341"/>
      <c r="P306" s="341"/>
      <c r="Q306" s="341"/>
      <c r="R306" s="341"/>
      <c r="S306" s="341"/>
      <c r="T306" s="341"/>
      <c r="U306" s="341"/>
      <c r="V306" s="341"/>
      <c r="W306" s="341"/>
      <c r="X306" s="341"/>
      <c r="Y306" s="341"/>
      <c r="Z306" s="341"/>
      <c r="AA306" s="341"/>
      <c r="AB306" s="341"/>
      <c r="AC306" s="341"/>
      <c r="AD306" s="341"/>
      <c r="AE306" s="341"/>
      <c r="AF306" s="341"/>
      <c r="AG306" s="341"/>
    </row>
    <row r="307" spans="1:33" ht="122.4" customHeight="1" thickBot="1" x14ac:dyDescent="0.45">
      <c r="A307" s="341"/>
      <c r="B307" s="341"/>
      <c r="C307" s="341"/>
      <c r="D307" s="713"/>
      <c r="E307" s="341"/>
      <c r="F307" s="442"/>
      <c r="G307" s="341"/>
      <c r="H307" s="341"/>
      <c r="I307" s="341"/>
      <c r="J307" s="341"/>
      <c r="K307" s="341"/>
      <c r="L307" s="341"/>
      <c r="M307" s="577"/>
      <c r="N307" s="341"/>
      <c r="O307" s="341"/>
      <c r="P307" s="341"/>
      <c r="Q307" s="341"/>
      <c r="R307" s="341"/>
      <c r="S307" s="341"/>
      <c r="T307" s="341"/>
      <c r="U307" s="341"/>
      <c r="V307" s="341"/>
      <c r="W307" s="341"/>
      <c r="X307" s="341"/>
      <c r="Y307" s="341"/>
      <c r="Z307" s="341"/>
      <c r="AA307" s="341"/>
      <c r="AB307" s="341"/>
      <c r="AC307" s="341"/>
      <c r="AD307" s="341"/>
      <c r="AE307" s="341"/>
      <c r="AF307" s="341"/>
      <c r="AG307" s="341"/>
    </row>
    <row r="308" spans="1:33" ht="122.4" customHeight="1" thickBot="1" x14ac:dyDescent="0.45">
      <c r="A308" s="341"/>
      <c r="B308" s="341"/>
      <c r="C308" s="341"/>
      <c r="D308" s="713"/>
      <c r="E308" s="341"/>
      <c r="F308" s="442"/>
      <c r="G308" s="341"/>
      <c r="H308" s="341"/>
      <c r="I308" s="341"/>
      <c r="J308" s="341"/>
      <c r="K308" s="341"/>
      <c r="L308" s="341"/>
      <c r="M308" s="577"/>
      <c r="N308" s="341"/>
      <c r="O308" s="341"/>
      <c r="P308" s="341"/>
      <c r="Q308" s="341"/>
      <c r="R308" s="341"/>
      <c r="S308" s="341"/>
      <c r="T308" s="341"/>
      <c r="U308" s="341"/>
      <c r="V308" s="341"/>
      <c r="W308" s="341"/>
      <c r="X308" s="341"/>
      <c r="Y308" s="341"/>
      <c r="Z308" s="341"/>
      <c r="AA308" s="341"/>
      <c r="AB308" s="341"/>
      <c r="AC308" s="341"/>
      <c r="AD308" s="341"/>
      <c r="AE308" s="341"/>
      <c r="AF308" s="341"/>
      <c r="AG308" s="341"/>
    </row>
    <row r="309" spans="1:33" ht="122.4" customHeight="1" thickBot="1" x14ac:dyDescent="0.45">
      <c r="A309" s="341"/>
      <c r="B309" s="341"/>
      <c r="C309" s="341"/>
      <c r="D309" s="713"/>
      <c r="E309" s="341"/>
      <c r="F309" s="442"/>
      <c r="G309" s="341"/>
      <c r="H309" s="341"/>
      <c r="I309" s="341"/>
      <c r="J309" s="341"/>
      <c r="K309" s="341"/>
      <c r="L309" s="341"/>
      <c r="M309" s="577"/>
      <c r="N309" s="341"/>
      <c r="O309" s="341"/>
      <c r="P309" s="341"/>
      <c r="Q309" s="341"/>
      <c r="R309" s="341"/>
      <c r="S309" s="341"/>
      <c r="T309" s="341"/>
      <c r="U309" s="341"/>
      <c r="V309" s="341"/>
      <c r="W309" s="341"/>
      <c r="X309" s="341"/>
      <c r="Y309" s="341"/>
      <c r="Z309" s="341"/>
      <c r="AA309" s="341"/>
      <c r="AB309" s="341"/>
      <c r="AC309" s="341"/>
      <c r="AD309" s="341"/>
      <c r="AE309" s="341"/>
      <c r="AF309" s="341"/>
      <c r="AG309" s="341"/>
    </row>
    <row r="310" spans="1:33" ht="122.4" customHeight="1" thickBot="1" x14ac:dyDescent="0.45">
      <c r="A310" s="341"/>
      <c r="B310" s="341"/>
      <c r="C310" s="341"/>
      <c r="D310" s="713"/>
      <c r="E310" s="341"/>
      <c r="F310" s="442"/>
      <c r="G310" s="341"/>
      <c r="H310" s="341"/>
      <c r="I310" s="341"/>
      <c r="J310" s="341"/>
      <c r="K310" s="341"/>
      <c r="L310" s="341"/>
      <c r="M310" s="577"/>
      <c r="N310" s="341"/>
      <c r="O310" s="341"/>
      <c r="P310" s="341"/>
      <c r="Q310" s="341"/>
      <c r="R310" s="341"/>
      <c r="S310" s="341"/>
      <c r="T310" s="341"/>
      <c r="U310" s="341"/>
      <c r="V310" s="341"/>
      <c r="W310" s="341"/>
      <c r="X310" s="341"/>
      <c r="Y310" s="341"/>
      <c r="Z310" s="341"/>
      <c r="AA310" s="341"/>
      <c r="AB310" s="341"/>
      <c r="AC310" s="341"/>
      <c r="AD310" s="341"/>
      <c r="AE310" s="341"/>
      <c r="AF310" s="341"/>
      <c r="AG310" s="341"/>
    </row>
    <row r="311" spans="1:33" ht="122.4" customHeight="1" thickBot="1" x14ac:dyDescent="0.45">
      <c r="A311" s="341"/>
      <c r="B311" s="341"/>
      <c r="C311" s="341"/>
      <c r="D311" s="713"/>
      <c r="E311" s="341"/>
      <c r="F311" s="442"/>
      <c r="G311" s="341"/>
      <c r="H311" s="341"/>
      <c r="I311" s="341"/>
      <c r="J311" s="341"/>
      <c r="K311" s="341"/>
      <c r="L311" s="341"/>
      <c r="M311" s="577"/>
      <c r="N311" s="341"/>
      <c r="O311" s="341"/>
      <c r="P311" s="341"/>
      <c r="Q311" s="341"/>
      <c r="R311" s="341"/>
      <c r="S311" s="341"/>
      <c r="T311" s="341"/>
      <c r="U311" s="341"/>
      <c r="V311" s="341"/>
      <c r="W311" s="341"/>
      <c r="X311" s="341"/>
      <c r="Y311" s="341"/>
      <c r="Z311" s="341"/>
      <c r="AA311" s="341"/>
      <c r="AB311" s="341"/>
      <c r="AC311" s="341"/>
      <c r="AD311" s="341"/>
      <c r="AE311" s="341"/>
      <c r="AF311" s="341"/>
      <c r="AG311" s="341"/>
    </row>
    <row r="312" spans="1:33" ht="122.4" customHeight="1" thickBot="1" x14ac:dyDescent="0.45">
      <c r="A312" s="341"/>
      <c r="B312" s="341"/>
      <c r="C312" s="341"/>
      <c r="D312" s="713"/>
      <c r="E312" s="341"/>
      <c r="F312" s="442"/>
      <c r="G312" s="341"/>
      <c r="H312" s="341"/>
      <c r="I312" s="341"/>
      <c r="J312" s="341"/>
      <c r="K312" s="341"/>
      <c r="L312" s="341"/>
      <c r="M312" s="577"/>
      <c r="N312" s="341"/>
      <c r="O312" s="341"/>
      <c r="P312" s="341"/>
      <c r="Q312" s="341"/>
      <c r="R312" s="341"/>
      <c r="S312" s="341"/>
      <c r="T312" s="341"/>
      <c r="U312" s="341"/>
      <c r="V312" s="341"/>
      <c r="W312" s="341"/>
      <c r="X312" s="341"/>
      <c r="Y312" s="341"/>
      <c r="Z312" s="341"/>
      <c r="AA312" s="341"/>
      <c r="AB312" s="341"/>
      <c r="AC312" s="341"/>
      <c r="AD312" s="341"/>
      <c r="AE312" s="341"/>
      <c r="AF312" s="341"/>
      <c r="AG312" s="341"/>
    </row>
    <row r="313" spans="1:33" ht="122.4" customHeight="1" thickBot="1" x14ac:dyDescent="0.45">
      <c r="A313" s="341"/>
      <c r="B313" s="341"/>
      <c r="C313" s="341"/>
      <c r="D313" s="713"/>
      <c r="E313" s="341"/>
      <c r="F313" s="442"/>
      <c r="G313" s="341"/>
      <c r="H313" s="341"/>
      <c r="I313" s="341"/>
      <c r="J313" s="341"/>
      <c r="K313" s="341"/>
      <c r="L313" s="341"/>
      <c r="M313" s="577"/>
      <c r="N313" s="341"/>
      <c r="O313" s="341"/>
      <c r="P313" s="341"/>
      <c r="Q313" s="341"/>
      <c r="R313" s="341"/>
      <c r="S313" s="341"/>
      <c r="T313" s="341"/>
      <c r="U313" s="341"/>
      <c r="V313" s="341"/>
      <c r="W313" s="341"/>
      <c r="X313" s="341"/>
      <c r="Y313" s="341"/>
      <c r="Z313" s="341"/>
      <c r="AA313" s="341"/>
      <c r="AB313" s="341"/>
      <c r="AC313" s="341"/>
      <c r="AD313" s="341"/>
      <c r="AE313" s="341"/>
      <c r="AF313" s="341"/>
      <c r="AG313" s="341"/>
    </row>
    <row r="314" spans="1:33" ht="122.4" customHeight="1" thickBot="1" x14ac:dyDescent="0.45">
      <c r="A314" s="341"/>
      <c r="B314" s="341"/>
      <c r="C314" s="341"/>
      <c r="D314" s="713"/>
      <c r="E314" s="341"/>
      <c r="F314" s="442"/>
      <c r="G314" s="341"/>
      <c r="H314" s="341"/>
      <c r="I314" s="341"/>
      <c r="J314" s="341"/>
      <c r="K314" s="341"/>
      <c r="L314" s="341"/>
      <c r="M314" s="577"/>
      <c r="N314" s="341"/>
      <c r="O314" s="341"/>
      <c r="P314" s="341"/>
      <c r="Q314" s="341"/>
      <c r="R314" s="341"/>
      <c r="S314" s="341"/>
      <c r="T314" s="341"/>
      <c r="U314" s="341"/>
      <c r="V314" s="341"/>
      <c r="W314" s="341"/>
      <c r="X314" s="341"/>
      <c r="Y314" s="341"/>
      <c r="Z314" s="341"/>
      <c r="AA314" s="341"/>
      <c r="AB314" s="341"/>
      <c r="AC314" s="341"/>
      <c r="AD314" s="341"/>
      <c r="AE314" s="341"/>
      <c r="AF314" s="341"/>
      <c r="AG314" s="341"/>
    </row>
    <row r="315" spans="1:33" ht="122.4" customHeight="1" thickBot="1" x14ac:dyDescent="0.45">
      <c r="A315" s="341"/>
      <c r="B315" s="341"/>
      <c r="C315" s="341"/>
      <c r="D315" s="713"/>
      <c r="E315" s="341"/>
      <c r="F315" s="442"/>
      <c r="G315" s="341"/>
      <c r="H315" s="341"/>
      <c r="I315" s="341"/>
      <c r="J315" s="341"/>
      <c r="K315" s="341"/>
      <c r="L315" s="341"/>
      <c r="M315" s="577"/>
      <c r="N315" s="341"/>
      <c r="O315" s="341"/>
      <c r="P315" s="341"/>
      <c r="Q315" s="341"/>
      <c r="R315" s="341"/>
      <c r="S315" s="341"/>
      <c r="T315" s="341"/>
      <c r="U315" s="341"/>
      <c r="V315" s="341"/>
      <c r="W315" s="341"/>
      <c r="X315" s="341"/>
      <c r="Y315" s="341"/>
      <c r="Z315" s="341"/>
      <c r="AA315" s="341"/>
      <c r="AB315" s="341"/>
      <c r="AC315" s="341"/>
      <c r="AD315" s="341"/>
      <c r="AE315" s="341"/>
      <c r="AF315" s="341"/>
      <c r="AG315" s="341"/>
    </row>
    <row r="316" spans="1:33" ht="122.4" customHeight="1" thickBot="1" x14ac:dyDescent="0.45">
      <c r="A316" s="341"/>
      <c r="B316" s="341"/>
      <c r="C316" s="341"/>
      <c r="D316" s="713"/>
      <c r="E316" s="341"/>
      <c r="F316" s="442"/>
      <c r="G316" s="341"/>
      <c r="H316" s="341"/>
      <c r="I316" s="341"/>
      <c r="J316" s="341"/>
      <c r="K316" s="341"/>
      <c r="L316" s="341"/>
      <c r="M316" s="577"/>
      <c r="N316" s="341"/>
      <c r="O316" s="341"/>
      <c r="P316" s="341"/>
      <c r="Q316" s="341"/>
      <c r="R316" s="341"/>
      <c r="S316" s="341"/>
      <c r="T316" s="341"/>
      <c r="U316" s="341"/>
      <c r="V316" s="341"/>
      <c r="W316" s="341"/>
      <c r="X316" s="341"/>
      <c r="Y316" s="341"/>
      <c r="Z316" s="341"/>
      <c r="AA316" s="341"/>
      <c r="AB316" s="341"/>
      <c r="AC316" s="341"/>
      <c r="AD316" s="341"/>
      <c r="AE316" s="341"/>
      <c r="AF316" s="341"/>
      <c r="AG316" s="341"/>
    </row>
    <row r="317" spans="1:33" ht="122.4" customHeight="1" thickBot="1" x14ac:dyDescent="0.45">
      <c r="A317" s="341"/>
      <c r="B317" s="341"/>
      <c r="C317" s="341"/>
      <c r="D317" s="713"/>
      <c r="E317" s="341"/>
      <c r="F317" s="442"/>
      <c r="G317" s="341"/>
      <c r="H317" s="341"/>
      <c r="I317" s="341"/>
      <c r="J317" s="341"/>
      <c r="K317" s="341"/>
      <c r="L317" s="341"/>
      <c r="M317" s="577"/>
      <c r="N317" s="341"/>
      <c r="O317" s="341"/>
      <c r="P317" s="341"/>
      <c r="Q317" s="341"/>
      <c r="R317" s="341"/>
      <c r="S317" s="341"/>
      <c r="T317" s="341"/>
      <c r="U317" s="341"/>
      <c r="V317" s="341"/>
      <c r="W317" s="341"/>
      <c r="X317" s="341"/>
      <c r="Y317" s="341"/>
      <c r="Z317" s="341"/>
      <c r="AA317" s="341"/>
      <c r="AB317" s="341"/>
      <c r="AC317" s="341"/>
      <c r="AD317" s="341"/>
      <c r="AE317" s="341"/>
      <c r="AF317" s="341"/>
      <c r="AG317" s="341"/>
    </row>
    <row r="318" spans="1:33" ht="122.4" customHeight="1" thickBot="1" x14ac:dyDescent="0.45">
      <c r="A318" s="341"/>
      <c r="B318" s="341"/>
      <c r="C318" s="341"/>
      <c r="D318" s="713"/>
      <c r="E318" s="341"/>
      <c r="F318" s="442"/>
      <c r="G318" s="341"/>
      <c r="H318" s="341"/>
      <c r="I318" s="341"/>
      <c r="J318" s="341"/>
      <c r="K318" s="341"/>
      <c r="L318" s="341"/>
      <c r="M318" s="577"/>
      <c r="N318" s="341"/>
      <c r="O318" s="341"/>
      <c r="P318" s="341"/>
      <c r="Q318" s="341"/>
      <c r="R318" s="341"/>
      <c r="S318" s="341"/>
      <c r="T318" s="341"/>
      <c r="U318" s="341"/>
      <c r="V318" s="341"/>
      <c r="W318" s="341"/>
      <c r="X318" s="341"/>
      <c r="Y318" s="341"/>
      <c r="Z318" s="341"/>
      <c r="AA318" s="341"/>
      <c r="AB318" s="341"/>
      <c r="AC318" s="341"/>
      <c r="AD318" s="341"/>
      <c r="AE318" s="341"/>
      <c r="AF318" s="341"/>
      <c r="AG318" s="341"/>
    </row>
    <row r="319" spans="1:33" ht="122.4" customHeight="1" thickBot="1" x14ac:dyDescent="0.45">
      <c r="A319" s="341"/>
      <c r="B319" s="341"/>
      <c r="C319" s="341"/>
      <c r="D319" s="713"/>
      <c r="E319" s="341"/>
      <c r="F319" s="442"/>
      <c r="G319" s="341"/>
      <c r="H319" s="341"/>
      <c r="I319" s="341"/>
      <c r="J319" s="341"/>
      <c r="K319" s="341"/>
      <c r="L319" s="341"/>
      <c r="M319" s="577"/>
      <c r="N319" s="341"/>
      <c r="O319" s="341"/>
      <c r="P319" s="341"/>
      <c r="Q319" s="341"/>
      <c r="R319" s="341"/>
      <c r="S319" s="341"/>
      <c r="T319" s="341"/>
      <c r="U319" s="341"/>
      <c r="V319" s="341"/>
      <c r="W319" s="341"/>
      <c r="X319" s="341"/>
      <c r="Y319" s="341"/>
      <c r="Z319" s="341"/>
      <c r="AA319" s="341"/>
      <c r="AB319" s="341"/>
      <c r="AC319" s="341"/>
      <c r="AD319" s="341"/>
      <c r="AE319" s="341"/>
      <c r="AF319" s="341"/>
      <c r="AG319" s="341"/>
    </row>
    <row r="320" spans="1:33" ht="122.4" customHeight="1" thickBot="1" x14ac:dyDescent="0.45">
      <c r="A320" s="341"/>
      <c r="B320" s="341"/>
      <c r="C320" s="341"/>
      <c r="D320" s="713"/>
      <c r="E320" s="341"/>
      <c r="F320" s="442"/>
      <c r="G320" s="341"/>
      <c r="H320" s="341"/>
      <c r="I320" s="341"/>
      <c r="J320" s="341"/>
      <c r="K320" s="341"/>
      <c r="L320" s="341"/>
      <c r="M320" s="577"/>
      <c r="N320" s="341"/>
      <c r="O320" s="341"/>
      <c r="P320" s="341"/>
      <c r="Q320" s="341"/>
      <c r="R320" s="341"/>
      <c r="S320" s="341"/>
      <c r="T320" s="341"/>
      <c r="U320" s="341"/>
      <c r="V320" s="341"/>
      <c r="W320" s="341"/>
      <c r="X320" s="341"/>
      <c r="Y320" s="341"/>
      <c r="Z320" s="341"/>
      <c r="AA320" s="341"/>
      <c r="AB320" s="341"/>
      <c r="AC320" s="341"/>
      <c r="AD320" s="341"/>
      <c r="AE320" s="341"/>
      <c r="AF320" s="341"/>
      <c r="AG320" s="341"/>
    </row>
    <row r="321" spans="1:33" ht="122.4" customHeight="1" thickBot="1" x14ac:dyDescent="0.45">
      <c r="A321" s="341"/>
      <c r="B321" s="341"/>
      <c r="C321" s="341"/>
      <c r="D321" s="713"/>
      <c r="E321" s="341"/>
      <c r="F321" s="442"/>
      <c r="G321" s="341"/>
      <c r="H321" s="341"/>
      <c r="I321" s="341"/>
      <c r="J321" s="341"/>
      <c r="K321" s="341"/>
      <c r="L321" s="341"/>
      <c r="M321" s="577"/>
      <c r="N321" s="341"/>
      <c r="O321" s="341"/>
      <c r="P321" s="341"/>
      <c r="Q321" s="341"/>
      <c r="R321" s="341"/>
      <c r="S321" s="341"/>
      <c r="T321" s="341"/>
      <c r="U321" s="341"/>
      <c r="V321" s="341"/>
      <c r="W321" s="341"/>
      <c r="X321" s="341"/>
      <c r="Y321" s="341"/>
      <c r="Z321" s="341"/>
      <c r="AA321" s="341"/>
      <c r="AB321" s="341"/>
      <c r="AC321" s="341"/>
      <c r="AD321" s="341"/>
      <c r="AE321" s="341"/>
      <c r="AF321" s="341"/>
      <c r="AG321" s="341"/>
    </row>
    <row r="322" spans="1:33" ht="122.4" customHeight="1" thickBot="1" x14ac:dyDescent="0.45">
      <c r="A322" s="341"/>
      <c r="B322" s="341"/>
      <c r="C322" s="341"/>
      <c r="D322" s="713"/>
      <c r="E322" s="341"/>
      <c r="F322" s="442"/>
      <c r="G322" s="341"/>
      <c r="H322" s="341"/>
      <c r="I322" s="341"/>
      <c r="J322" s="341"/>
      <c r="K322" s="341"/>
      <c r="L322" s="341"/>
      <c r="M322" s="577"/>
      <c r="N322" s="341"/>
      <c r="O322" s="341"/>
      <c r="P322" s="341"/>
      <c r="Q322" s="341"/>
      <c r="R322" s="341"/>
      <c r="S322" s="341"/>
      <c r="T322" s="341"/>
      <c r="U322" s="341"/>
      <c r="V322" s="341"/>
      <c r="W322" s="341"/>
      <c r="X322" s="341"/>
      <c r="Y322" s="341"/>
      <c r="Z322" s="341"/>
      <c r="AA322" s="341"/>
      <c r="AB322" s="341"/>
      <c r="AC322" s="341"/>
      <c r="AD322" s="341"/>
      <c r="AE322" s="341"/>
      <c r="AF322" s="341"/>
      <c r="AG322" s="341"/>
    </row>
    <row r="323" spans="1:33" ht="122.4" customHeight="1" thickBot="1" x14ac:dyDescent="0.45">
      <c r="A323" s="341"/>
      <c r="B323" s="341"/>
      <c r="C323" s="341"/>
      <c r="D323" s="713"/>
      <c r="E323" s="341"/>
      <c r="F323" s="442"/>
      <c r="G323" s="341"/>
      <c r="H323" s="341"/>
      <c r="I323" s="341"/>
      <c r="J323" s="341"/>
      <c r="K323" s="341"/>
      <c r="L323" s="341"/>
      <c r="M323" s="577"/>
      <c r="N323" s="341"/>
      <c r="O323" s="341"/>
      <c r="P323" s="341"/>
      <c r="Q323" s="341"/>
      <c r="R323" s="341"/>
      <c r="S323" s="341"/>
      <c r="T323" s="341"/>
      <c r="U323" s="341"/>
      <c r="V323" s="341"/>
      <c r="W323" s="341"/>
      <c r="X323" s="341"/>
      <c r="Y323" s="341"/>
      <c r="Z323" s="341"/>
      <c r="AA323" s="341"/>
      <c r="AB323" s="341"/>
      <c r="AC323" s="341"/>
      <c r="AD323" s="341"/>
      <c r="AE323" s="341"/>
      <c r="AF323" s="341"/>
      <c r="AG323" s="341"/>
    </row>
    <row r="324" spans="1:33" ht="122.4" customHeight="1" thickBot="1" x14ac:dyDescent="0.45">
      <c r="A324" s="341"/>
      <c r="B324" s="341"/>
      <c r="C324" s="341"/>
      <c r="D324" s="713"/>
      <c r="E324" s="341"/>
      <c r="F324" s="442"/>
      <c r="G324" s="341"/>
      <c r="H324" s="341"/>
      <c r="I324" s="341"/>
      <c r="J324" s="341"/>
      <c r="K324" s="341"/>
      <c r="L324" s="341"/>
      <c r="M324" s="577"/>
      <c r="N324" s="341"/>
      <c r="O324" s="341"/>
      <c r="P324" s="341"/>
      <c r="Q324" s="341"/>
      <c r="R324" s="341"/>
      <c r="S324" s="341"/>
      <c r="T324" s="341"/>
      <c r="U324" s="341"/>
      <c r="V324" s="341"/>
      <c r="W324" s="341"/>
      <c r="X324" s="341"/>
      <c r="Y324" s="341"/>
      <c r="Z324" s="341"/>
      <c r="AA324" s="341"/>
      <c r="AB324" s="341"/>
      <c r="AC324" s="341"/>
      <c r="AD324" s="341"/>
      <c r="AE324" s="341"/>
      <c r="AF324" s="341"/>
      <c r="AG324" s="341"/>
    </row>
    <row r="325" spans="1:33" ht="122.4" customHeight="1" thickBot="1" x14ac:dyDescent="0.45">
      <c r="A325" s="341"/>
      <c r="B325" s="341"/>
      <c r="C325" s="341"/>
      <c r="D325" s="713"/>
      <c r="E325" s="341"/>
      <c r="F325" s="442"/>
      <c r="G325" s="341"/>
      <c r="H325" s="341"/>
      <c r="I325" s="341"/>
      <c r="J325" s="341"/>
      <c r="K325" s="341"/>
      <c r="L325" s="341"/>
      <c r="M325" s="577"/>
      <c r="N325" s="341"/>
      <c r="O325" s="341"/>
      <c r="P325" s="341"/>
      <c r="Q325" s="341"/>
      <c r="R325" s="341"/>
      <c r="S325" s="341"/>
      <c r="T325" s="341"/>
      <c r="U325" s="341"/>
      <c r="V325" s="341"/>
      <c r="W325" s="341"/>
      <c r="X325" s="341"/>
      <c r="Y325" s="341"/>
      <c r="Z325" s="341"/>
      <c r="AA325" s="341"/>
      <c r="AB325" s="341"/>
      <c r="AC325" s="341"/>
      <c r="AD325" s="341"/>
      <c r="AE325" s="341"/>
      <c r="AF325" s="341"/>
      <c r="AG325" s="341"/>
    </row>
    <row r="326" spans="1:33" ht="122.4" customHeight="1" thickBot="1" x14ac:dyDescent="0.45">
      <c r="A326" s="341"/>
      <c r="B326" s="341"/>
      <c r="C326" s="341"/>
      <c r="D326" s="713"/>
      <c r="E326" s="341"/>
      <c r="F326" s="442"/>
      <c r="G326" s="341"/>
      <c r="H326" s="341"/>
      <c r="I326" s="341"/>
      <c r="J326" s="341"/>
      <c r="K326" s="341"/>
      <c r="L326" s="341"/>
      <c r="M326" s="577"/>
      <c r="N326" s="341"/>
      <c r="O326" s="341"/>
      <c r="P326" s="341"/>
      <c r="Q326" s="341"/>
      <c r="R326" s="341"/>
      <c r="S326" s="341"/>
      <c r="T326" s="341"/>
      <c r="U326" s="341"/>
      <c r="V326" s="341"/>
      <c r="W326" s="341"/>
      <c r="X326" s="341"/>
      <c r="Y326" s="341"/>
      <c r="Z326" s="341"/>
      <c r="AA326" s="341"/>
      <c r="AB326" s="341"/>
      <c r="AC326" s="341"/>
      <c r="AD326" s="341"/>
      <c r="AE326" s="341"/>
      <c r="AF326" s="341"/>
      <c r="AG326" s="341"/>
    </row>
    <row r="327" spans="1:33" ht="122.4" customHeight="1" thickBot="1" x14ac:dyDescent="0.45">
      <c r="A327" s="341"/>
      <c r="B327" s="341"/>
      <c r="C327" s="341"/>
      <c r="D327" s="713"/>
      <c r="E327" s="341"/>
      <c r="F327" s="442"/>
      <c r="G327" s="341"/>
      <c r="H327" s="341"/>
      <c r="I327" s="341"/>
      <c r="J327" s="341"/>
      <c r="K327" s="341"/>
      <c r="L327" s="341"/>
      <c r="M327" s="577"/>
      <c r="N327" s="341"/>
      <c r="O327" s="341"/>
      <c r="P327" s="341"/>
      <c r="Q327" s="341"/>
      <c r="R327" s="341"/>
      <c r="S327" s="341"/>
      <c r="T327" s="341"/>
      <c r="U327" s="341"/>
      <c r="V327" s="341"/>
      <c r="W327" s="341"/>
      <c r="X327" s="341"/>
      <c r="Y327" s="341"/>
      <c r="Z327" s="341"/>
      <c r="AA327" s="341"/>
      <c r="AB327" s="341"/>
      <c r="AC327" s="341"/>
      <c r="AD327" s="341"/>
      <c r="AE327" s="341"/>
      <c r="AF327" s="341"/>
      <c r="AG327" s="341"/>
    </row>
    <row r="328" spans="1:33" ht="122.4" customHeight="1" thickBot="1" x14ac:dyDescent="0.45">
      <c r="A328" s="341"/>
      <c r="B328" s="341"/>
      <c r="C328" s="341"/>
      <c r="D328" s="713"/>
      <c r="E328" s="341"/>
      <c r="F328" s="442"/>
      <c r="G328" s="341"/>
      <c r="H328" s="341"/>
      <c r="I328" s="341"/>
      <c r="J328" s="341"/>
      <c r="K328" s="341"/>
      <c r="L328" s="341"/>
      <c r="M328" s="577"/>
      <c r="N328" s="341"/>
      <c r="O328" s="341"/>
      <c r="P328" s="341"/>
      <c r="Q328" s="341"/>
      <c r="R328" s="341"/>
      <c r="S328" s="341"/>
      <c r="T328" s="341"/>
      <c r="U328" s="341"/>
      <c r="V328" s="341"/>
      <c r="W328" s="341"/>
      <c r="X328" s="341"/>
      <c r="Y328" s="341"/>
      <c r="Z328" s="341"/>
      <c r="AA328" s="341"/>
      <c r="AB328" s="341"/>
      <c r="AC328" s="341"/>
      <c r="AD328" s="341"/>
      <c r="AE328" s="341"/>
      <c r="AF328" s="341"/>
      <c r="AG328" s="341"/>
    </row>
    <row r="329" spans="1:33" ht="122.4" customHeight="1" thickBot="1" x14ac:dyDescent="0.45">
      <c r="A329" s="341"/>
      <c r="B329" s="341"/>
      <c r="C329" s="341"/>
      <c r="D329" s="713"/>
      <c r="E329" s="341"/>
      <c r="F329" s="442"/>
      <c r="G329" s="341"/>
      <c r="H329" s="341"/>
      <c r="I329" s="341"/>
      <c r="J329" s="341"/>
      <c r="K329" s="341"/>
      <c r="L329" s="341"/>
      <c r="M329" s="577"/>
      <c r="N329" s="341"/>
      <c r="O329" s="341"/>
      <c r="P329" s="341"/>
      <c r="Q329" s="341"/>
      <c r="R329" s="341"/>
      <c r="S329" s="341"/>
      <c r="T329" s="341"/>
      <c r="U329" s="341"/>
      <c r="V329" s="341"/>
      <c r="W329" s="341"/>
      <c r="X329" s="341"/>
      <c r="Y329" s="341"/>
      <c r="Z329" s="341"/>
      <c r="AA329" s="341"/>
      <c r="AB329" s="341"/>
      <c r="AC329" s="341"/>
      <c r="AD329" s="341"/>
      <c r="AE329" s="341"/>
      <c r="AF329" s="341"/>
      <c r="AG329" s="341"/>
    </row>
    <row r="330" spans="1:33" ht="122.4" customHeight="1" thickBot="1" x14ac:dyDescent="0.45">
      <c r="A330" s="341"/>
      <c r="B330" s="341"/>
      <c r="C330" s="341"/>
      <c r="D330" s="713"/>
      <c r="E330" s="341"/>
      <c r="F330" s="442"/>
      <c r="G330" s="341"/>
      <c r="H330" s="341"/>
      <c r="I330" s="341"/>
      <c r="J330" s="341"/>
      <c r="K330" s="341"/>
      <c r="L330" s="341"/>
      <c r="M330" s="577"/>
      <c r="N330" s="341"/>
      <c r="O330" s="341"/>
      <c r="P330" s="341"/>
      <c r="Q330" s="341"/>
      <c r="R330" s="341"/>
      <c r="S330" s="341"/>
      <c r="T330" s="341"/>
      <c r="U330" s="341"/>
      <c r="V330" s="341"/>
      <c r="W330" s="341"/>
      <c r="X330" s="341"/>
      <c r="Y330" s="341"/>
      <c r="Z330" s="341"/>
      <c r="AA330" s="341"/>
      <c r="AB330" s="341"/>
      <c r="AC330" s="341"/>
      <c r="AD330" s="341"/>
      <c r="AE330" s="341"/>
      <c r="AF330" s="341"/>
      <c r="AG330" s="341"/>
    </row>
    <row r="331" spans="1:33" ht="122.4" customHeight="1" thickBot="1" x14ac:dyDescent="0.45">
      <c r="A331" s="341"/>
      <c r="B331" s="341"/>
      <c r="C331" s="341"/>
      <c r="D331" s="713"/>
      <c r="E331" s="341"/>
      <c r="F331" s="442"/>
      <c r="G331" s="341"/>
      <c r="H331" s="341"/>
      <c r="I331" s="341"/>
      <c r="J331" s="341"/>
      <c r="K331" s="341"/>
      <c r="L331" s="341"/>
      <c r="M331" s="577"/>
      <c r="N331" s="341"/>
      <c r="O331" s="341"/>
      <c r="P331" s="341"/>
      <c r="Q331" s="341"/>
      <c r="R331" s="341"/>
      <c r="S331" s="341"/>
      <c r="T331" s="341"/>
      <c r="U331" s="341"/>
      <c r="V331" s="341"/>
      <c r="W331" s="341"/>
      <c r="X331" s="341"/>
      <c r="Y331" s="341"/>
      <c r="Z331" s="341"/>
      <c r="AA331" s="341"/>
      <c r="AB331" s="341"/>
      <c r="AC331" s="341"/>
      <c r="AD331" s="341"/>
      <c r="AE331" s="341"/>
      <c r="AF331" s="341"/>
      <c r="AG331" s="341"/>
    </row>
    <row r="332" spans="1:33" ht="122.4" customHeight="1" thickBot="1" x14ac:dyDescent="0.45">
      <c r="A332" s="341"/>
      <c r="B332" s="341"/>
      <c r="C332" s="341"/>
      <c r="D332" s="713"/>
      <c r="E332" s="341"/>
      <c r="F332" s="442"/>
      <c r="G332" s="341"/>
      <c r="H332" s="341"/>
      <c r="I332" s="341"/>
      <c r="J332" s="341"/>
      <c r="K332" s="341"/>
      <c r="L332" s="341"/>
      <c r="M332" s="577"/>
      <c r="N332" s="341"/>
      <c r="O332" s="341"/>
      <c r="P332" s="341"/>
      <c r="Q332" s="341"/>
      <c r="R332" s="341"/>
      <c r="S332" s="341"/>
      <c r="T332" s="341"/>
      <c r="U332" s="341"/>
      <c r="V332" s="341"/>
      <c r="W332" s="341"/>
      <c r="X332" s="341"/>
      <c r="Y332" s="341"/>
      <c r="Z332" s="341"/>
      <c r="AA332" s="341"/>
      <c r="AB332" s="341"/>
      <c r="AC332" s="341"/>
      <c r="AD332" s="341"/>
      <c r="AE332" s="341"/>
      <c r="AF332" s="341"/>
      <c r="AG332" s="341"/>
    </row>
    <row r="333" spans="1:33" ht="122.4" customHeight="1" thickBot="1" x14ac:dyDescent="0.45">
      <c r="A333" s="341"/>
      <c r="B333" s="341"/>
      <c r="C333" s="341"/>
      <c r="D333" s="713"/>
      <c r="E333" s="341"/>
      <c r="F333" s="442"/>
      <c r="G333" s="341"/>
      <c r="H333" s="341"/>
      <c r="I333" s="341"/>
      <c r="J333" s="341"/>
      <c r="K333" s="341"/>
      <c r="L333" s="341"/>
      <c r="M333" s="577"/>
      <c r="N333" s="341"/>
      <c r="O333" s="341"/>
      <c r="P333" s="341"/>
      <c r="Q333" s="341"/>
      <c r="R333" s="341"/>
      <c r="S333" s="341"/>
      <c r="T333" s="341"/>
      <c r="U333" s="341"/>
      <c r="V333" s="341"/>
      <c r="W333" s="341"/>
      <c r="X333" s="341"/>
      <c r="Y333" s="341"/>
      <c r="Z333" s="341"/>
      <c r="AA333" s="341"/>
      <c r="AB333" s="341"/>
      <c r="AC333" s="341"/>
      <c r="AD333" s="341"/>
      <c r="AE333" s="341"/>
      <c r="AF333" s="341"/>
      <c r="AG333" s="341"/>
    </row>
    <row r="334" spans="1:33" ht="122.4" customHeight="1" thickBot="1" x14ac:dyDescent="0.45">
      <c r="A334" s="341"/>
      <c r="B334" s="341"/>
      <c r="C334" s="341"/>
      <c r="D334" s="713"/>
      <c r="E334" s="341"/>
      <c r="F334" s="442"/>
      <c r="G334" s="341"/>
      <c r="H334" s="341"/>
      <c r="I334" s="341"/>
      <c r="J334" s="341"/>
      <c r="K334" s="341"/>
      <c r="L334" s="341"/>
      <c r="M334" s="577"/>
      <c r="N334" s="341"/>
      <c r="O334" s="341"/>
      <c r="P334" s="341"/>
      <c r="Q334" s="341"/>
      <c r="R334" s="341"/>
      <c r="S334" s="341"/>
      <c r="T334" s="341"/>
      <c r="U334" s="341"/>
      <c r="V334" s="341"/>
      <c r="W334" s="341"/>
      <c r="X334" s="341"/>
      <c r="Y334" s="341"/>
      <c r="Z334" s="341"/>
      <c r="AA334" s="341"/>
      <c r="AB334" s="341"/>
      <c r="AC334" s="341"/>
      <c r="AD334" s="341"/>
      <c r="AE334" s="341"/>
      <c r="AF334" s="341"/>
      <c r="AG334" s="341"/>
    </row>
    <row r="335" spans="1:33" ht="122.4" customHeight="1" thickBot="1" x14ac:dyDescent="0.45">
      <c r="A335" s="341"/>
      <c r="B335" s="341"/>
      <c r="C335" s="341"/>
      <c r="D335" s="713"/>
      <c r="E335" s="341"/>
      <c r="F335" s="442"/>
      <c r="G335" s="341"/>
      <c r="H335" s="341"/>
      <c r="I335" s="341"/>
      <c r="J335" s="341"/>
      <c r="K335" s="341"/>
      <c r="L335" s="341"/>
      <c r="M335" s="577"/>
      <c r="N335" s="341"/>
      <c r="O335" s="341"/>
      <c r="P335" s="341"/>
      <c r="Q335" s="341"/>
      <c r="R335" s="341"/>
      <c r="S335" s="341"/>
      <c r="T335" s="341"/>
      <c r="U335" s="341"/>
      <c r="V335" s="341"/>
      <c r="W335" s="341"/>
      <c r="X335" s="341"/>
      <c r="Y335" s="341"/>
      <c r="Z335" s="341"/>
      <c r="AA335" s="341"/>
      <c r="AB335" s="341"/>
      <c r="AC335" s="341"/>
      <c r="AD335" s="341"/>
      <c r="AE335" s="341"/>
      <c r="AF335" s="341"/>
      <c r="AG335" s="341"/>
    </row>
    <row r="336" spans="1:33" ht="122.4" customHeight="1" thickBot="1" x14ac:dyDescent="0.45">
      <c r="A336" s="341"/>
      <c r="B336" s="341"/>
      <c r="C336" s="341"/>
      <c r="D336" s="713"/>
      <c r="E336" s="341"/>
      <c r="F336" s="442"/>
      <c r="G336" s="341"/>
      <c r="H336" s="341"/>
      <c r="I336" s="341"/>
      <c r="J336" s="341"/>
      <c r="K336" s="341"/>
      <c r="L336" s="341"/>
      <c r="M336" s="577"/>
      <c r="N336" s="341"/>
      <c r="O336" s="341"/>
      <c r="P336" s="341"/>
      <c r="Q336" s="341"/>
      <c r="R336" s="341"/>
      <c r="S336" s="341"/>
      <c r="T336" s="341"/>
      <c r="U336" s="341"/>
      <c r="V336" s="341"/>
      <c r="W336" s="341"/>
      <c r="X336" s="341"/>
      <c r="Y336" s="341"/>
      <c r="Z336" s="341"/>
      <c r="AA336" s="341"/>
      <c r="AB336" s="341"/>
      <c r="AC336" s="341"/>
      <c r="AD336" s="341"/>
      <c r="AE336" s="341"/>
      <c r="AF336" s="341"/>
      <c r="AG336" s="341"/>
    </row>
    <row r="337" spans="1:33" ht="122.4" customHeight="1" thickBot="1" x14ac:dyDescent="0.45">
      <c r="A337" s="341"/>
      <c r="B337" s="341"/>
      <c r="C337" s="341"/>
      <c r="D337" s="713"/>
      <c r="E337" s="341"/>
      <c r="F337" s="442"/>
      <c r="G337" s="341"/>
      <c r="H337" s="341"/>
      <c r="I337" s="341"/>
      <c r="J337" s="341"/>
      <c r="K337" s="341"/>
      <c r="L337" s="341"/>
      <c r="M337" s="577"/>
      <c r="N337" s="341"/>
      <c r="O337" s="341"/>
      <c r="P337" s="341"/>
      <c r="Q337" s="341"/>
      <c r="R337" s="341"/>
      <c r="S337" s="341"/>
      <c r="T337" s="341"/>
      <c r="U337" s="341"/>
      <c r="V337" s="341"/>
      <c r="W337" s="341"/>
      <c r="X337" s="341"/>
      <c r="Y337" s="341"/>
      <c r="Z337" s="341"/>
      <c r="AA337" s="341"/>
      <c r="AB337" s="341"/>
      <c r="AC337" s="341"/>
      <c r="AD337" s="341"/>
      <c r="AE337" s="341"/>
      <c r="AF337" s="341"/>
      <c r="AG337" s="341"/>
    </row>
    <row r="338" spans="1:33" ht="122.4" customHeight="1" thickBot="1" x14ac:dyDescent="0.45">
      <c r="A338" s="341"/>
      <c r="B338" s="341"/>
      <c r="C338" s="341"/>
      <c r="D338" s="713"/>
      <c r="E338" s="341"/>
      <c r="F338" s="442"/>
      <c r="G338" s="341"/>
      <c r="H338" s="341"/>
      <c r="I338" s="341"/>
      <c r="J338" s="341"/>
      <c r="K338" s="341"/>
      <c r="L338" s="341"/>
      <c r="M338" s="577"/>
      <c r="N338" s="341"/>
      <c r="O338" s="341"/>
      <c r="P338" s="341"/>
      <c r="Q338" s="341"/>
      <c r="R338" s="341"/>
      <c r="S338" s="341"/>
      <c r="T338" s="341"/>
      <c r="U338" s="341"/>
      <c r="V338" s="341"/>
      <c r="W338" s="341"/>
      <c r="X338" s="341"/>
      <c r="Y338" s="341"/>
      <c r="Z338" s="341"/>
      <c r="AA338" s="341"/>
      <c r="AB338" s="341"/>
      <c r="AC338" s="341"/>
      <c r="AD338" s="341"/>
      <c r="AE338" s="341"/>
      <c r="AF338" s="341"/>
      <c r="AG338" s="341"/>
    </row>
    <row r="339" spans="1:33" ht="122.4" customHeight="1" thickBot="1" x14ac:dyDescent="0.45">
      <c r="A339" s="341"/>
      <c r="B339" s="341"/>
      <c r="C339" s="341"/>
      <c r="D339" s="713"/>
      <c r="E339" s="341"/>
      <c r="F339" s="442"/>
      <c r="G339" s="341"/>
      <c r="H339" s="341"/>
      <c r="I339" s="341"/>
      <c r="J339" s="341"/>
      <c r="K339" s="341"/>
      <c r="L339" s="341"/>
      <c r="M339" s="577"/>
      <c r="N339" s="341"/>
      <c r="O339" s="341"/>
      <c r="P339" s="341"/>
      <c r="Q339" s="341"/>
      <c r="R339" s="341"/>
      <c r="S339" s="341"/>
      <c r="T339" s="341"/>
      <c r="U339" s="341"/>
      <c r="V339" s="341"/>
      <c r="W339" s="341"/>
      <c r="X339" s="341"/>
      <c r="Y339" s="341"/>
      <c r="Z339" s="341"/>
      <c r="AA339" s="341"/>
      <c r="AB339" s="341"/>
      <c r="AC339" s="341"/>
      <c r="AD339" s="341"/>
      <c r="AE339" s="341"/>
      <c r="AF339" s="341"/>
      <c r="AG339" s="341"/>
    </row>
    <row r="340" spans="1:33" ht="122.4" customHeight="1" thickBot="1" x14ac:dyDescent="0.45">
      <c r="A340" s="341"/>
      <c r="B340" s="341"/>
      <c r="C340" s="341"/>
      <c r="D340" s="713"/>
      <c r="E340" s="341"/>
      <c r="F340" s="442"/>
      <c r="G340" s="341"/>
      <c r="H340" s="341"/>
      <c r="I340" s="341"/>
      <c r="J340" s="341"/>
      <c r="K340" s="341"/>
      <c r="L340" s="341"/>
      <c r="M340" s="577"/>
      <c r="N340" s="341"/>
      <c r="O340" s="341"/>
      <c r="P340" s="341"/>
      <c r="Q340" s="341"/>
      <c r="R340" s="341"/>
      <c r="S340" s="341"/>
      <c r="T340" s="341"/>
      <c r="U340" s="341"/>
      <c r="V340" s="341"/>
      <c r="W340" s="341"/>
      <c r="X340" s="341"/>
      <c r="Y340" s="341"/>
      <c r="Z340" s="341"/>
      <c r="AA340" s="341"/>
      <c r="AB340" s="341"/>
      <c r="AC340" s="341"/>
      <c r="AD340" s="341"/>
      <c r="AE340" s="341"/>
      <c r="AF340" s="341"/>
      <c r="AG340" s="341"/>
    </row>
    <row r="341" spans="1:33" ht="122.4" customHeight="1" thickBot="1" x14ac:dyDescent="0.45">
      <c r="A341" s="341"/>
      <c r="B341" s="341"/>
      <c r="C341" s="341"/>
      <c r="D341" s="713"/>
      <c r="E341" s="341"/>
      <c r="F341" s="442"/>
      <c r="G341" s="341"/>
      <c r="H341" s="341"/>
      <c r="I341" s="341"/>
      <c r="J341" s="341"/>
      <c r="K341" s="341"/>
      <c r="L341" s="341"/>
      <c r="M341" s="577"/>
      <c r="N341" s="341"/>
      <c r="O341" s="341"/>
      <c r="P341" s="341"/>
      <c r="Q341" s="341"/>
      <c r="R341" s="341"/>
      <c r="S341" s="341"/>
      <c r="T341" s="341"/>
      <c r="U341" s="341"/>
      <c r="V341" s="341"/>
      <c r="W341" s="341"/>
      <c r="X341" s="341"/>
      <c r="Y341" s="341"/>
      <c r="Z341" s="341"/>
      <c r="AA341" s="341"/>
      <c r="AB341" s="341"/>
      <c r="AC341" s="341"/>
      <c r="AD341" s="341"/>
      <c r="AE341" s="341"/>
      <c r="AF341" s="341"/>
      <c r="AG341" s="341"/>
    </row>
    <row r="342" spans="1:33" ht="122.4" customHeight="1" thickBot="1" x14ac:dyDescent="0.45">
      <c r="A342" s="341"/>
      <c r="B342" s="341"/>
      <c r="C342" s="341"/>
      <c r="D342" s="713"/>
      <c r="E342" s="341"/>
      <c r="F342" s="442"/>
      <c r="G342" s="341"/>
      <c r="H342" s="341"/>
      <c r="I342" s="341"/>
      <c r="J342" s="341"/>
      <c r="K342" s="341"/>
      <c r="L342" s="341"/>
      <c r="M342" s="577"/>
      <c r="N342" s="341"/>
      <c r="O342" s="341"/>
      <c r="P342" s="341"/>
      <c r="Q342" s="341"/>
      <c r="R342" s="341"/>
      <c r="S342" s="341"/>
      <c r="T342" s="341"/>
      <c r="U342" s="341"/>
      <c r="V342" s="341"/>
      <c r="W342" s="341"/>
      <c r="X342" s="341"/>
      <c r="Y342" s="341"/>
      <c r="Z342" s="341"/>
      <c r="AA342" s="341"/>
      <c r="AB342" s="341"/>
      <c r="AC342" s="341"/>
      <c r="AD342" s="341"/>
      <c r="AE342" s="341"/>
      <c r="AF342" s="341"/>
      <c r="AG342" s="341"/>
    </row>
    <row r="343" spans="1:33" ht="122.4" customHeight="1" thickBot="1" x14ac:dyDescent="0.45">
      <c r="A343" s="341"/>
      <c r="B343" s="341"/>
      <c r="C343" s="341"/>
      <c r="D343" s="713"/>
      <c r="E343" s="341"/>
      <c r="F343" s="442"/>
      <c r="G343" s="341"/>
      <c r="H343" s="341"/>
      <c r="I343" s="341"/>
      <c r="J343" s="341"/>
      <c r="K343" s="341"/>
      <c r="L343" s="341"/>
      <c r="M343" s="577"/>
      <c r="N343" s="341"/>
      <c r="O343" s="341"/>
      <c r="P343" s="341"/>
      <c r="Q343" s="341"/>
      <c r="R343" s="341"/>
      <c r="S343" s="341"/>
      <c r="T343" s="341"/>
      <c r="U343" s="341"/>
      <c r="V343" s="341"/>
      <c r="W343" s="341"/>
      <c r="X343" s="341"/>
      <c r="Y343" s="341"/>
      <c r="Z343" s="341"/>
      <c r="AA343" s="341"/>
      <c r="AB343" s="341"/>
      <c r="AC343" s="341"/>
      <c r="AD343" s="341"/>
      <c r="AE343" s="341"/>
      <c r="AF343" s="341"/>
      <c r="AG343" s="341"/>
    </row>
    <row r="344" spans="1:33" ht="122.4" customHeight="1" thickBot="1" x14ac:dyDescent="0.45">
      <c r="A344" s="341"/>
      <c r="B344" s="341"/>
      <c r="C344" s="341"/>
      <c r="D344" s="713"/>
      <c r="E344" s="341"/>
      <c r="F344" s="442"/>
      <c r="G344" s="341"/>
      <c r="H344" s="341"/>
      <c r="I344" s="341"/>
      <c r="J344" s="341"/>
      <c r="K344" s="341"/>
      <c r="L344" s="341"/>
      <c r="M344" s="577"/>
      <c r="N344" s="341"/>
      <c r="O344" s="341"/>
      <c r="P344" s="341"/>
      <c r="Q344" s="341"/>
      <c r="R344" s="341"/>
      <c r="S344" s="341"/>
      <c r="T344" s="341"/>
      <c r="U344" s="341"/>
      <c r="V344" s="341"/>
      <c r="W344" s="341"/>
      <c r="X344" s="341"/>
      <c r="Y344" s="341"/>
      <c r="Z344" s="341"/>
      <c r="AA344" s="341"/>
      <c r="AB344" s="341"/>
      <c r="AC344" s="341"/>
      <c r="AD344" s="341"/>
      <c r="AE344" s="341"/>
      <c r="AF344" s="341"/>
      <c r="AG344" s="341"/>
    </row>
    <row r="345" spans="1:33" ht="122.4" customHeight="1" thickBot="1" x14ac:dyDescent="0.45">
      <c r="A345" s="341"/>
      <c r="B345" s="341"/>
      <c r="C345" s="341"/>
      <c r="D345" s="713"/>
      <c r="E345" s="341"/>
      <c r="F345" s="442"/>
      <c r="G345" s="341"/>
      <c r="H345" s="341"/>
      <c r="I345" s="341"/>
      <c r="J345" s="341"/>
      <c r="K345" s="341"/>
      <c r="L345" s="341"/>
      <c r="M345" s="577"/>
      <c r="N345" s="341"/>
      <c r="O345" s="341"/>
      <c r="P345" s="341"/>
      <c r="Q345" s="341"/>
      <c r="R345" s="341"/>
      <c r="S345" s="341"/>
      <c r="T345" s="341"/>
      <c r="U345" s="341"/>
      <c r="V345" s="341"/>
      <c r="W345" s="341"/>
      <c r="X345" s="341"/>
      <c r="Y345" s="341"/>
      <c r="Z345" s="341"/>
      <c r="AA345" s="341"/>
      <c r="AB345" s="341"/>
      <c r="AC345" s="341"/>
      <c r="AD345" s="341"/>
      <c r="AE345" s="341"/>
      <c r="AF345" s="341"/>
      <c r="AG345" s="341"/>
    </row>
    <row r="346" spans="1:33" ht="122.4" customHeight="1" thickBot="1" x14ac:dyDescent="0.45">
      <c r="A346" s="341"/>
      <c r="B346" s="341"/>
      <c r="C346" s="341"/>
      <c r="D346" s="713"/>
      <c r="E346" s="341"/>
      <c r="F346" s="442"/>
      <c r="G346" s="341"/>
      <c r="H346" s="341"/>
      <c r="I346" s="341"/>
      <c r="J346" s="341"/>
      <c r="K346" s="341"/>
      <c r="L346" s="341"/>
      <c r="M346" s="577"/>
      <c r="N346" s="341"/>
      <c r="O346" s="341"/>
      <c r="P346" s="341"/>
      <c r="Q346" s="341"/>
      <c r="R346" s="341"/>
      <c r="S346" s="341"/>
      <c r="T346" s="341"/>
      <c r="U346" s="341"/>
      <c r="V346" s="341"/>
      <c r="W346" s="341"/>
      <c r="X346" s="341"/>
      <c r="Y346" s="341"/>
      <c r="Z346" s="341"/>
      <c r="AA346" s="341"/>
      <c r="AB346" s="341"/>
      <c r="AC346" s="341"/>
      <c r="AD346" s="341"/>
      <c r="AE346" s="341"/>
      <c r="AF346" s="341"/>
      <c r="AG346" s="341"/>
    </row>
    <row r="347" spans="1:33" ht="122.4" customHeight="1" thickBot="1" x14ac:dyDescent="0.45">
      <c r="A347" s="341"/>
      <c r="B347" s="341"/>
      <c r="C347" s="341"/>
      <c r="D347" s="713"/>
      <c r="E347" s="341"/>
      <c r="F347" s="442"/>
      <c r="G347" s="341"/>
      <c r="H347" s="341"/>
      <c r="I347" s="341"/>
      <c r="J347" s="341"/>
      <c r="K347" s="341"/>
      <c r="L347" s="341"/>
      <c r="M347" s="577"/>
      <c r="N347" s="341"/>
      <c r="O347" s="341"/>
      <c r="P347" s="341"/>
      <c r="Q347" s="341"/>
      <c r="R347" s="341"/>
      <c r="S347" s="341"/>
      <c r="T347" s="341"/>
      <c r="U347" s="341"/>
      <c r="V347" s="341"/>
      <c r="W347" s="341"/>
      <c r="X347" s="341"/>
      <c r="Y347" s="341"/>
      <c r="Z347" s="341"/>
      <c r="AA347" s="341"/>
      <c r="AB347" s="341"/>
      <c r="AC347" s="341"/>
      <c r="AD347" s="341"/>
      <c r="AE347" s="341"/>
      <c r="AF347" s="341"/>
      <c r="AG347" s="341"/>
    </row>
    <row r="348" spans="1:33" ht="122.4" customHeight="1" thickBot="1" x14ac:dyDescent="0.45">
      <c r="A348" s="341"/>
      <c r="B348" s="341"/>
      <c r="C348" s="341"/>
      <c r="D348" s="713"/>
      <c r="E348" s="341"/>
      <c r="F348" s="442"/>
      <c r="G348" s="341"/>
      <c r="H348" s="341"/>
      <c r="I348" s="341"/>
      <c r="J348" s="341"/>
      <c r="K348" s="341"/>
      <c r="L348" s="341"/>
      <c r="M348" s="577"/>
      <c r="N348" s="341"/>
      <c r="O348" s="341"/>
      <c r="P348" s="341"/>
      <c r="Q348" s="341"/>
      <c r="R348" s="341"/>
      <c r="S348" s="341"/>
      <c r="T348" s="341"/>
      <c r="U348" s="341"/>
      <c r="V348" s="341"/>
      <c r="W348" s="341"/>
      <c r="X348" s="341"/>
      <c r="Y348" s="341"/>
      <c r="Z348" s="341"/>
      <c r="AA348" s="341"/>
      <c r="AB348" s="341"/>
      <c r="AC348" s="341"/>
      <c r="AD348" s="341"/>
      <c r="AE348" s="341"/>
      <c r="AF348" s="341"/>
      <c r="AG348" s="341"/>
    </row>
    <row r="349" spans="1:33" ht="122.4" customHeight="1" thickBot="1" x14ac:dyDescent="0.45">
      <c r="A349" s="341"/>
      <c r="B349" s="341"/>
      <c r="C349" s="341"/>
      <c r="D349" s="713"/>
      <c r="E349" s="341"/>
      <c r="F349" s="442"/>
      <c r="G349" s="341"/>
      <c r="H349" s="341"/>
      <c r="I349" s="341"/>
      <c r="J349" s="341"/>
      <c r="K349" s="341"/>
      <c r="L349" s="341"/>
      <c r="M349" s="577"/>
      <c r="N349" s="341"/>
      <c r="O349" s="341"/>
      <c r="P349" s="341"/>
      <c r="Q349" s="341"/>
      <c r="R349" s="341"/>
      <c r="S349" s="341"/>
      <c r="T349" s="341"/>
      <c r="U349" s="341"/>
      <c r="V349" s="341"/>
      <c r="W349" s="341"/>
      <c r="X349" s="341"/>
      <c r="Y349" s="341"/>
      <c r="Z349" s="341"/>
      <c r="AA349" s="341"/>
      <c r="AB349" s="341"/>
      <c r="AC349" s="341"/>
      <c r="AD349" s="341"/>
      <c r="AE349" s="341"/>
      <c r="AF349" s="341"/>
      <c r="AG349" s="341"/>
    </row>
    <row r="350" spans="1:33" ht="122.4" customHeight="1" thickBot="1" x14ac:dyDescent="0.45">
      <c r="A350" s="341"/>
      <c r="B350" s="341"/>
      <c r="C350" s="341"/>
      <c r="D350" s="713"/>
      <c r="E350" s="341"/>
      <c r="F350" s="442"/>
      <c r="G350" s="341"/>
      <c r="H350" s="341"/>
      <c r="I350" s="341"/>
      <c r="J350" s="341"/>
      <c r="K350" s="341"/>
      <c r="L350" s="341"/>
      <c r="M350" s="577"/>
      <c r="N350" s="341"/>
      <c r="O350" s="341"/>
      <c r="P350" s="341"/>
      <c r="Q350" s="341"/>
      <c r="R350" s="341"/>
      <c r="S350" s="341"/>
      <c r="T350" s="341"/>
      <c r="U350" s="341"/>
      <c r="V350" s="341"/>
      <c r="W350" s="341"/>
      <c r="X350" s="341"/>
      <c r="Y350" s="341"/>
      <c r="Z350" s="341"/>
      <c r="AA350" s="341"/>
      <c r="AB350" s="341"/>
      <c r="AC350" s="341"/>
      <c r="AD350" s="341"/>
      <c r="AE350" s="341"/>
      <c r="AF350" s="341"/>
      <c r="AG350" s="341"/>
    </row>
    <row r="351" spans="1:33" ht="122.4" customHeight="1" thickBot="1" x14ac:dyDescent="0.45">
      <c r="A351" s="341"/>
      <c r="B351" s="341"/>
      <c r="C351" s="341"/>
      <c r="D351" s="713"/>
      <c r="E351" s="341"/>
      <c r="F351" s="442"/>
      <c r="G351" s="341"/>
      <c r="H351" s="341"/>
      <c r="I351" s="341"/>
      <c r="J351" s="341"/>
      <c r="K351" s="341"/>
      <c r="L351" s="341"/>
      <c r="M351" s="577"/>
      <c r="N351" s="341"/>
      <c r="O351" s="341"/>
      <c r="P351" s="341"/>
      <c r="Q351" s="341"/>
      <c r="R351" s="341"/>
      <c r="S351" s="341"/>
      <c r="T351" s="341"/>
      <c r="U351" s="341"/>
      <c r="V351" s="341"/>
      <c r="W351" s="341"/>
      <c r="X351" s="341"/>
      <c r="Y351" s="341"/>
      <c r="Z351" s="341"/>
      <c r="AA351" s="341"/>
      <c r="AB351" s="341"/>
      <c r="AC351" s="341"/>
      <c r="AD351" s="341"/>
      <c r="AE351" s="341"/>
      <c r="AF351" s="341"/>
      <c r="AG351" s="341"/>
    </row>
    <row r="352" spans="1:33" ht="122.4" customHeight="1" thickBot="1" x14ac:dyDescent="0.45">
      <c r="A352" s="341"/>
      <c r="B352" s="341"/>
      <c r="C352" s="341"/>
      <c r="D352" s="713"/>
      <c r="E352" s="341"/>
      <c r="F352" s="442"/>
      <c r="G352" s="341"/>
      <c r="H352" s="341"/>
      <c r="I352" s="341"/>
      <c r="J352" s="341"/>
      <c r="K352" s="341"/>
      <c r="L352" s="341"/>
      <c r="M352" s="577"/>
      <c r="N352" s="341"/>
      <c r="O352" s="341"/>
      <c r="P352" s="341"/>
      <c r="Q352" s="341"/>
      <c r="R352" s="341"/>
      <c r="S352" s="341"/>
      <c r="T352" s="341"/>
      <c r="U352" s="341"/>
      <c r="V352" s="341"/>
      <c r="W352" s="341"/>
      <c r="X352" s="341"/>
      <c r="Y352" s="341"/>
      <c r="Z352" s="341"/>
      <c r="AA352" s="341"/>
      <c r="AB352" s="341"/>
      <c r="AC352" s="341"/>
      <c r="AD352" s="341"/>
      <c r="AE352" s="341"/>
      <c r="AF352" s="341"/>
      <c r="AG352" s="341"/>
    </row>
    <row r="353" spans="1:33" ht="122.4" customHeight="1" thickBot="1" x14ac:dyDescent="0.45">
      <c r="A353" s="341"/>
      <c r="B353" s="341"/>
      <c r="C353" s="341"/>
      <c r="D353" s="713"/>
      <c r="E353" s="341"/>
      <c r="F353" s="442"/>
      <c r="G353" s="341"/>
      <c r="H353" s="341"/>
      <c r="I353" s="341"/>
      <c r="J353" s="341"/>
      <c r="K353" s="341"/>
      <c r="L353" s="341"/>
      <c r="M353" s="577"/>
      <c r="N353" s="341"/>
      <c r="O353" s="341"/>
      <c r="P353" s="341"/>
      <c r="Q353" s="341"/>
      <c r="R353" s="341"/>
      <c r="S353" s="341"/>
      <c r="T353" s="341"/>
      <c r="U353" s="341"/>
      <c r="V353" s="341"/>
      <c r="W353" s="341"/>
      <c r="X353" s="341"/>
      <c r="Y353" s="341"/>
      <c r="Z353" s="341"/>
      <c r="AA353" s="341"/>
      <c r="AB353" s="341"/>
      <c r="AC353" s="341"/>
      <c r="AD353" s="341"/>
      <c r="AE353" s="341"/>
      <c r="AF353" s="341"/>
      <c r="AG353" s="341"/>
    </row>
    <row r="354" spans="1:33" ht="122.4" customHeight="1" thickBot="1" x14ac:dyDescent="0.45">
      <c r="A354" s="341"/>
      <c r="B354" s="341"/>
      <c r="C354" s="341"/>
      <c r="D354" s="713"/>
      <c r="E354" s="341"/>
      <c r="F354" s="442"/>
      <c r="G354" s="341"/>
      <c r="H354" s="341"/>
      <c r="I354" s="341"/>
      <c r="J354" s="341"/>
      <c r="K354" s="341"/>
      <c r="L354" s="341"/>
      <c r="M354" s="577"/>
      <c r="N354" s="341"/>
      <c r="O354" s="341"/>
      <c r="P354" s="341"/>
      <c r="Q354" s="341"/>
      <c r="R354" s="341"/>
      <c r="S354" s="341"/>
      <c r="T354" s="341"/>
      <c r="U354" s="341"/>
      <c r="V354" s="341"/>
      <c r="W354" s="341"/>
      <c r="X354" s="341"/>
      <c r="Y354" s="341"/>
      <c r="Z354" s="341"/>
      <c r="AA354" s="341"/>
      <c r="AB354" s="341"/>
      <c r="AC354" s="341"/>
      <c r="AD354" s="341"/>
      <c r="AE354" s="341"/>
      <c r="AF354" s="341"/>
      <c r="AG354" s="341"/>
    </row>
    <row r="355" spans="1:33" ht="122.4" customHeight="1" thickBot="1" x14ac:dyDescent="0.45">
      <c r="A355" s="341"/>
      <c r="B355" s="341"/>
      <c r="C355" s="341"/>
      <c r="D355" s="713"/>
      <c r="E355" s="341"/>
      <c r="F355" s="442"/>
      <c r="G355" s="341"/>
      <c r="H355" s="341"/>
      <c r="I355" s="341"/>
      <c r="J355" s="341"/>
      <c r="K355" s="341"/>
      <c r="L355" s="341"/>
      <c r="M355" s="577"/>
      <c r="N355" s="341"/>
      <c r="O355" s="341"/>
      <c r="P355" s="341"/>
      <c r="Q355" s="341"/>
      <c r="R355" s="341"/>
      <c r="S355" s="341"/>
      <c r="T355" s="341"/>
      <c r="U355" s="341"/>
      <c r="V355" s="341"/>
      <c r="W355" s="341"/>
      <c r="X355" s="341"/>
      <c r="Y355" s="341"/>
      <c r="Z355" s="341"/>
      <c r="AA355" s="341"/>
      <c r="AB355" s="341"/>
      <c r="AC355" s="341"/>
      <c r="AD355" s="341"/>
      <c r="AE355" s="341"/>
      <c r="AF355" s="341"/>
      <c r="AG355" s="341"/>
    </row>
    <row r="356" spans="1:33" ht="122.4" customHeight="1" thickBot="1" x14ac:dyDescent="0.45">
      <c r="A356" s="341"/>
      <c r="B356" s="341"/>
      <c r="C356" s="341"/>
      <c r="D356" s="713"/>
      <c r="E356" s="341"/>
      <c r="F356" s="442"/>
      <c r="G356" s="341"/>
      <c r="H356" s="341"/>
      <c r="I356" s="341"/>
      <c r="J356" s="341"/>
      <c r="K356" s="341"/>
      <c r="L356" s="341"/>
      <c r="M356" s="577"/>
      <c r="N356" s="341"/>
      <c r="O356" s="341"/>
      <c r="P356" s="341"/>
      <c r="Q356" s="341"/>
      <c r="R356" s="341"/>
      <c r="S356" s="341"/>
      <c r="T356" s="341"/>
      <c r="U356" s="341"/>
      <c r="V356" s="341"/>
      <c r="W356" s="341"/>
      <c r="X356" s="341"/>
      <c r="Y356" s="341"/>
      <c r="Z356" s="341"/>
      <c r="AA356" s="341"/>
      <c r="AB356" s="341"/>
      <c r="AC356" s="341"/>
      <c r="AD356" s="341"/>
      <c r="AE356" s="341"/>
      <c r="AF356" s="341"/>
      <c r="AG356" s="341"/>
    </row>
    <row r="357" spans="1:33" ht="122.4" customHeight="1" thickBot="1" x14ac:dyDescent="0.45">
      <c r="A357" s="341"/>
      <c r="B357" s="341"/>
      <c r="C357" s="341"/>
      <c r="D357" s="713"/>
      <c r="E357" s="341"/>
      <c r="F357" s="442"/>
      <c r="G357" s="341"/>
      <c r="H357" s="341"/>
      <c r="I357" s="341"/>
      <c r="J357" s="341"/>
      <c r="K357" s="341"/>
      <c r="L357" s="341"/>
      <c r="M357" s="577"/>
      <c r="N357" s="341"/>
      <c r="O357" s="341"/>
      <c r="P357" s="341"/>
      <c r="Q357" s="341"/>
      <c r="R357" s="341"/>
      <c r="S357" s="341"/>
      <c r="T357" s="341"/>
      <c r="U357" s="341"/>
      <c r="V357" s="341"/>
      <c r="W357" s="341"/>
      <c r="X357" s="341"/>
      <c r="Y357" s="341"/>
      <c r="Z357" s="341"/>
      <c r="AA357" s="341"/>
      <c r="AB357" s="341"/>
      <c r="AC357" s="341"/>
      <c r="AD357" s="341"/>
      <c r="AE357" s="341"/>
      <c r="AF357" s="341"/>
      <c r="AG357" s="341"/>
    </row>
    <row r="358" spans="1:33" ht="122.4" customHeight="1" thickBot="1" x14ac:dyDescent="0.45">
      <c r="A358" s="341"/>
      <c r="B358" s="341"/>
      <c r="C358" s="341"/>
      <c r="D358" s="713"/>
      <c r="E358" s="341"/>
      <c r="F358" s="442"/>
      <c r="G358" s="341"/>
      <c r="H358" s="341"/>
      <c r="I358" s="341"/>
      <c r="J358" s="341"/>
      <c r="K358" s="341"/>
      <c r="L358" s="341"/>
      <c r="M358" s="577"/>
      <c r="N358" s="341"/>
      <c r="O358" s="341"/>
      <c r="P358" s="341"/>
      <c r="Q358" s="341"/>
      <c r="R358" s="341"/>
      <c r="S358" s="341"/>
      <c r="T358" s="341"/>
      <c r="U358" s="341"/>
      <c r="V358" s="341"/>
      <c r="W358" s="341"/>
      <c r="X358" s="341"/>
      <c r="Y358" s="341"/>
      <c r="Z358" s="341"/>
      <c r="AA358" s="341"/>
      <c r="AB358" s="341"/>
      <c r="AC358" s="341"/>
      <c r="AD358" s="341"/>
      <c r="AE358" s="341"/>
      <c r="AF358" s="341"/>
      <c r="AG358" s="341"/>
    </row>
    <row r="359" spans="1:33" ht="122.4" customHeight="1" thickBot="1" x14ac:dyDescent="0.45">
      <c r="A359" s="341"/>
      <c r="B359" s="341"/>
      <c r="C359" s="341"/>
      <c r="D359" s="713"/>
      <c r="E359" s="341"/>
      <c r="F359" s="442"/>
      <c r="G359" s="341"/>
      <c r="H359" s="341"/>
      <c r="I359" s="341"/>
      <c r="J359" s="341"/>
      <c r="K359" s="341"/>
      <c r="L359" s="341"/>
      <c r="M359" s="577"/>
      <c r="N359" s="341"/>
      <c r="O359" s="341"/>
      <c r="P359" s="341"/>
      <c r="Q359" s="341"/>
      <c r="R359" s="341"/>
      <c r="S359" s="341"/>
      <c r="T359" s="341"/>
      <c r="U359" s="341"/>
      <c r="V359" s="341"/>
      <c r="W359" s="341"/>
      <c r="X359" s="341"/>
      <c r="Y359" s="341"/>
      <c r="Z359" s="341"/>
      <c r="AA359" s="341"/>
      <c r="AB359" s="341"/>
      <c r="AC359" s="341"/>
      <c r="AD359" s="341"/>
      <c r="AE359" s="341"/>
      <c r="AF359" s="341"/>
      <c r="AG359" s="341"/>
    </row>
    <row r="360" spans="1:33" ht="122.4" customHeight="1" thickBot="1" x14ac:dyDescent="0.45">
      <c r="A360" s="341"/>
      <c r="B360" s="341"/>
      <c r="C360" s="341"/>
      <c r="D360" s="713"/>
      <c r="E360" s="341"/>
      <c r="F360" s="442"/>
      <c r="G360" s="341"/>
      <c r="H360" s="341"/>
      <c r="I360" s="341"/>
      <c r="J360" s="341"/>
      <c r="K360" s="341"/>
      <c r="L360" s="341"/>
      <c r="M360" s="577"/>
      <c r="N360" s="341"/>
      <c r="O360" s="341"/>
      <c r="P360" s="341"/>
      <c r="Q360" s="341"/>
      <c r="R360" s="341"/>
      <c r="S360" s="341"/>
      <c r="T360" s="341"/>
      <c r="U360" s="341"/>
      <c r="V360" s="341"/>
      <c r="W360" s="341"/>
      <c r="X360" s="341"/>
      <c r="Y360" s="341"/>
      <c r="Z360" s="341"/>
      <c r="AA360" s="341"/>
      <c r="AB360" s="341"/>
      <c r="AC360" s="341"/>
      <c r="AD360" s="341"/>
      <c r="AE360" s="341"/>
      <c r="AF360" s="341"/>
      <c r="AG360" s="341"/>
    </row>
    <row r="361" spans="1:33" ht="122.4" customHeight="1" thickBot="1" x14ac:dyDescent="0.45">
      <c r="A361" s="341"/>
      <c r="B361" s="341"/>
      <c r="C361" s="341"/>
      <c r="D361" s="713"/>
      <c r="E361" s="341"/>
      <c r="F361" s="442"/>
      <c r="G361" s="341"/>
      <c r="H361" s="341"/>
      <c r="I361" s="341"/>
      <c r="J361" s="341"/>
      <c r="K361" s="341"/>
      <c r="L361" s="341"/>
      <c r="M361" s="577"/>
      <c r="N361" s="341"/>
      <c r="O361" s="341"/>
      <c r="P361" s="341"/>
      <c r="Q361" s="341"/>
      <c r="R361" s="341"/>
      <c r="S361" s="341"/>
      <c r="T361" s="341"/>
      <c r="U361" s="341"/>
      <c r="V361" s="341"/>
      <c r="W361" s="341"/>
      <c r="X361" s="341"/>
      <c r="Y361" s="341"/>
      <c r="Z361" s="341"/>
      <c r="AA361" s="341"/>
      <c r="AB361" s="341"/>
      <c r="AC361" s="341"/>
      <c r="AD361" s="341"/>
      <c r="AE361" s="341"/>
      <c r="AF361" s="341"/>
      <c r="AG361" s="341"/>
    </row>
    <row r="362" spans="1:33" ht="122.4" customHeight="1" thickBot="1" x14ac:dyDescent="0.45">
      <c r="A362" s="341"/>
      <c r="B362" s="341"/>
      <c r="C362" s="341"/>
      <c r="D362" s="713"/>
      <c r="E362" s="341"/>
      <c r="F362" s="442"/>
      <c r="G362" s="341"/>
      <c r="H362" s="341"/>
      <c r="I362" s="341"/>
      <c r="J362" s="341"/>
      <c r="K362" s="341"/>
      <c r="L362" s="341"/>
      <c r="M362" s="577"/>
      <c r="N362" s="341"/>
      <c r="O362" s="341"/>
      <c r="P362" s="341"/>
      <c r="Q362" s="341"/>
      <c r="R362" s="341"/>
      <c r="S362" s="341"/>
      <c r="T362" s="341"/>
      <c r="U362" s="341"/>
      <c r="V362" s="341"/>
      <c r="W362" s="341"/>
      <c r="X362" s="341"/>
      <c r="Y362" s="341"/>
      <c r="Z362" s="341"/>
      <c r="AA362" s="341"/>
      <c r="AB362" s="341"/>
      <c r="AC362" s="341"/>
      <c r="AD362" s="341"/>
      <c r="AE362" s="341"/>
      <c r="AF362" s="341"/>
      <c r="AG362" s="341"/>
    </row>
    <row r="363" spans="1:33" ht="122.4" customHeight="1" thickBot="1" x14ac:dyDescent="0.45">
      <c r="A363" s="341"/>
      <c r="B363" s="341"/>
      <c r="C363" s="341"/>
      <c r="D363" s="713"/>
      <c r="E363" s="341"/>
      <c r="F363" s="442"/>
      <c r="G363" s="341"/>
      <c r="H363" s="341"/>
      <c r="I363" s="341"/>
      <c r="J363" s="341"/>
      <c r="K363" s="341"/>
      <c r="L363" s="341"/>
      <c r="M363" s="577"/>
      <c r="N363" s="341"/>
      <c r="O363" s="341"/>
      <c r="P363" s="341"/>
      <c r="Q363" s="341"/>
      <c r="R363" s="341"/>
      <c r="S363" s="341"/>
      <c r="T363" s="341"/>
      <c r="U363" s="341"/>
      <c r="V363" s="341"/>
      <c r="W363" s="341"/>
      <c r="X363" s="341"/>
      <c r="Y363" s="341"/>
      <c r="Z363" s="341"/>
      <c r="AA363" s="341"/>
      <c r="AB363" s="341"/>
      <c r="AC363" s="341"/>
      <c r="AD363" s="341"/>
      <c r="AE363" s="341"/>
      <c r="AF363" s="341"/>
      <c r="AG363" s="341"/>
    </row>
    <row r="364" spans="1:33" ht="122.4" customHeight="1" thickBot="1" x14ac:dyDescent="0.45">
      <c r="A364" s="341"/>
      <c r="B364" s="341"/>
      <c r="C364" s="341"/>
      <c r="D364" s="713"/>
      <c r="E364" s="341"/>
      <c r="F364" s="442"/>
      <c r="G364" s="341"/>
      <c r="H364" s="341"/>
      <c r="I364" s="341"/>
      <c r="J364" s="341"/>
      <c r="K364" s="341"/>
      <c r="L364" s="341"/>
      <c r="M364" s="577"/>
      <c r="N364" s="341"/>
      <c r="O364" s="341"/>
      <c r="P364" s="341"/>
      <c r="Q364" s="341"/>
      <c r="R364" s="341"/>
      <c r="S364" s="341"/>
      <c r="T364" s="341"/>
      <c r="U364" s="341"/>
      <c r="V364" s="341"/>
      <c r="W364" s="341"/>
      <c r="X364" s="341"/>
      <c r="Y364" s="341"/>
      <c r="Z364" s="341"/>
      <c r="AA364" s="341"/>
      <c r="AB364" s="341"/>
      <c r="AC364" s="341"/>
      <c r="AD364" s="341"/>
      <c r="AE364" s="341"/>
      <c r="AF364" s="341"/>
      <c r="AG364" s="341"/>
    </row>
    <row r="365" spans="1:33" ht="122.4" customHeight="1" thickBot="1" x14ac:dyDescent="0.45">
      <c r="A365" s="341"/>
      <c r="B365" s="341"/>
      <c r="C365" s="341"/>
      <c r="D365" s="713"/>
      <c r="E365" s="341"/>
      <c r="F365" s="442"/>
      <c r="G365" s="341"/>
      <c r="H365" s="341"/>
      <c r="I365" s="341"/>
      <c r="J365" s="341"/>
      <c r="K365" s="341"/>
      <c r="L365" s="341"/>
      <c r="M365" s="577"/>
      <c r="N365" s="341"/>
      <c r="O365" s="341"/>
      <c r="P365" s="341"/>
      <c r="Q365" s="341"/>
      <c r="R365" s="341"/>
      <c r="S365" s="341"/>
      <c r="T365" s="341"/>
      <c r="U365" s="341"/>
      <c r="V365" s="341"/>
      <c r="W365" s="341"/>
      <c r="X365" s="341"/>
      <c r="Y365" s="341"/>
      <c r="Z365" s="341"/>
      <c r="AA365" s="341"/>
      <c r="AB365" s="341"/>
      <c r="AC365" s="341"/>
      <c r="AD365" s="341"/>
      <c r="AE365" s="341"/>
      <c r="AF365" s="341"/>
      <c r="AG365" s="341"/>
    </row>
    <row r="366" spans="1:33" ht="122.4" customHeight="1" thickBot="1" x14ac:dyDescent="0.45">
      <c r="A366" s="341"/>
      <c r="B366" s="341"/>
      <c r="C366" s="341"/>
      <c r="D366" s="713"/>
      <c r="E366" s="341"/>
      <c r="F366" s="442"/>
      <c r="G366" s="341"/>
      <c r="H366" s="341"/>
      <c r="I366" s="341"/>
      <c r="J366" s="341"/>
      <c r="K366" s="341"/>
      <c r="L366" s="341"/>
      <c r="M366" s="577"/>
      <c r="N366" s="341"/>
      <c r="O366" s="341"/>
      <c r="P366" s="341"/>
      <c r="Q366" s="341"/>
      <c r="R366" s="341"/>
      <c r="S366" s="341"/>
      <c r="T366" s="341"/>
      <c r="U366" s="341"/>
      <c r="V366" s="341"/>
      <c r="W366" s="341"/>
      <c r="X366" s="341"/>
      <c r="Y366" s="341"/>
      <c r="Z366" s="341"/>
      <c r="AA366" s="341"/>
      <c r="AB366" s="341"/>
      <c r="AC366" s="341"/>
      <c r="AD366" s="341"/>
      <c r="AE366" s="341"/>
      <c r="AF366" s="341"/>
      <c r="AG366" s="341"/>
    </row>
    <row r="367" spans="1:33" ht="122.4" customHeight="1" thickBot="1" x14ac:dyDescent="0.45">
      <c r="A367" s="341"/>
      <c r="B367" s="341"/>
      <c r="C367" s="341"/>
      <c r="D367" s="713"/>
      <c r="E367" s="341"/>
      <c r="F367" s="442"/>
      <c r="G367" s="341"/>
      <c r="H367" s="341"/>
      <c r="I367" s="341"/>
      <c r="J367" s="341"/>
      <c r="K367" s="341"/>
      <c r="L367" s="341"/>
      <c r="M367" s="577"/>
      <c r="N367" s="341"/>
      <c r="O367" s="341"/>
      <c r="P367" s="341"/>
      <c r="Q367" s="341"/>
      <c r="R367" s="341"/>
      <c r="S367" s="341"/>
      <c r="T367" s="341"/>
      <c r="U367" s="341"/>
      <c r="V367" s="341"/>
      <c r="W367" s="341"/>
      <c r="X367" s="341"/>
      <c r="Y367" s="341"/>
      <c r="Z367" s="341"/>
      <c r="AA367" s="341"/>
      <c r="AB367" s="341"/>
      <c r="AC367" s="341"/>
      <c r="AD367" s="341"/>
      <c r="AE367" s="341"/>
      <c r="AF367" s="341"/>
      <c r="AG367" s="341"/>
    </row>
    <row r="368" spans="1:33" ht="122.4" customHeight="1" thickBot="1" x14ac:dyDescent="0.45">
      <c r="A368" s="341"/>
      <c r="B368" s="341"/>
      <c r="C368" s="341"/>
      <c r="D368" s="713"/>
      <c r="E368" s="341"/>
      <c r="F368" s="442"/>
      <c r="G368" s="341"/>
      <c r="H368" s="341"/>
      <c r="I368" s="341"/>
      <c r="J368" s="341"/>
      <c r="K368" s="341"/>
      <c r="L368" s="341"/>
      <c r="M368" s="577"/>
      <c r="N368" s="341"/>
      <c r="O368" s="341"/>
      <c r="P368" s="341"/>
      <c r="Q368" s="341"/>
      <c r="R368" s="341"/>
      <c r="S368" s="341"/>
      <c r="T368" s="341"/>
      <c r="U368" s="341"/>
      <c r="V368" s="341"/>
      <c r="W368" s="341"/>
      <c r="X368" s="341"/>
      <c r="Y368" s="341"/>
      <c r="Z368" s="341"/>
      <c r="AA368" s="341"/>
      <c r="AB368" s="341"/>
      <c r="AC368" s="341"/>
      <c r="AD368" s="341"/>
      <c r="AE368" s="341"/>
      <c r="AF368" s="341"/>
      <c r="AG368" s="341"/>
    </row>
    <row r="369" spans="1:33" ht="122.4" customHeight="1" thickBot="1" x14ac:dyDescent="0.45">
      <c r="A369" s="341"/>
      <c r="B369" s="341"/>
      <c r="C369" s="341"/>
      <c r="D369" s="713"/>
      <c r="E369" s="341"/>
      <c r="F369" s="442"/>
      <c r="G369" s="341"/>
      <c r="H369" s="341"/>
      <c r="I369" s="341"/>
      <c r="J369" s="341"/>
      <c r="K369" s="341"/>
      <c r="L369" s="341"/>
      <c r="M369" s="577"/>
      <c r="N369" s="341"/>
      <c r="O369" s="341"/>
      <c r="P369" s="341"/>
      <c r="Q369" s="341"/>
      <c r="R369" s="341"/>
      <c r="S369" s="341"/>
      <c r="T369" s="341"/>
      <c r="U369" s="341"/>
      <c r="V369" s="341"/>
      <c r="W369" s="341"/>
      <c r="X369" s="341"/>
      <c r="Y369" s="341"/>
      <c r="Z369" s="341"/>
      <c r="AA369" s="341"/>
      <c r="AB369" s="341"/>
      <c r="AC369" s="341"/>
      <c r="AD369" s="341"/>
      <c r="AE369" s="341"/>
      <c r="AF369" s="341"/>
      <c r="AG369" s="341"/>
    </row>
    <row r="370" spans="1:33" ht="122.4" customHeight="1" thickBot="1" x14ac:dyDescent="0.45">
      <c r="A370" s="341"/>
      <c r="B370" s="341"/>
      <c r="C370" s="341"/>
      <c r="D370" s="713"/>
      <c r="E370" s="341"/>
      <c r="F370" s="442"/>
      <c r="G370" s="341"/>
      <c r="H370" s="341"/>
      <c r="I370" s="341"/>
      <c r="J370" s="341"/>
      <c r="K370" s="341"/>
      <c r="L370" s="341"/>
      <c r="M370" s="577"/>
      <c r="N370" s="341"/>
      <c r="O370" s="341"/>
      <c r="P370" s="341"/>
      <c r="Q370" s="341"/>
      <c r="R370" s="341"/>
      <c r="S370" s="341"/>
      <c r="T370" s="341"/>
      <c r="U370" s="341"/>
      <c r="V370" s="341"/>
      <c r="W370" s="341"/>
      <c r="X370" s="341"/>
      <c r="Y370" s="341"/>
      <c r="Z370" s="341"/>
      <c r="AA370" s="341"/>
      <c r="AB370" s="341"/>
      <c r="AC370" s="341"/>
      <c r="AD370" s="341"/>
      <c r="AE370" s="341"/>
      <c r="AF370" s="341"/>
      <c r="AG370" s="341"/>
    </row>
    <row r="371" spans="1:33" ht="122.4" customHeight="1" thickBot="1" x14ac:dyDescent="0.45">
      <c r="A371" s="341"/>
      <c r="B371" s="341"/>
      <c r="C371" s="341"/>
      <c r="D371" s="713"/>
      <c r="E371" s="341"/>
      <c r="F371" s="442"/>
      <c r="G371" s="341"/>
      <c r="H371" s="341"/>
      <c r="I371" s="341"/>
      <c r="J371" s="341"/>
      <c r="K371" s="341"/>
      <c r="L371" s="341"/>
      <c r="M371" s="577"/>
      <c r="N371" s="341"/>
      <c r="O371" s="341"/>
      <c r="P371" s="341"/>
      <c r="Q371" s="341"/>
      <c r="R371" s="341"/>
      <c r="S371" s="341"/>
      <c r="T371" s="341"/>
      <c r="U371" s="341"/>
      <c r="V371" s="341"/>
      <c r="W371" s="341"/>
      <c r="X371" s="341"/>
      <c r="Y371" s="341"/>
      <c r="Z371" s="341"/>
      <c r="AA371" s="341"/>
      <c r="AB371" s="341"/>
      <c r="AC371" s="341"/>
      <c r="AD371" s="341"/>
      <c r="AE371" s="341"/>
      <c r="AF371" s="341"/>
      <c r="AG371" s="341"/>
    </row>
    <row r="372" spans="1:33" ht="122.4" customHeight="1" thickBot="1" x14ac:dyDescent="0.45">
      <c r="A372" s="341"/>
      <c r="B372" s="341"/>
      <c r="C372" s="341"/>
      <c r="D372" s="713"/>
      <c r="E372" s="341"/>
      <c r="F372" s="442"/>
      <c r="G372" s="341"/>
      <c r="H372" s="341"/>
      <c r="I372" s="341"/>
      <c r="J372" s="341"/>
      <c r="K372" s="341"/>
      <c r="L372" s="341"/>
      <c r="M372" s="577"/>
      <c r="N372" s="341"/>
      <c r="O372" s="341"/>
      <c r="P372" s="341"/>
      <c r="Q372" s="341"/>
      <c r="R372" s="341"/>
      <c r="S372" s="341"/>
      <c r="T372" s="341"/>
      <c r="U372" s="341"/>
      <c r="V372" s="341"/>
      <c r="W372" s="341"/>
      <c r="X372" s="341"/>
      <c r="Y372" s="341"/>
      <c r="Z372" s="341"/>
      <c r="AA372" s="341"/>
      <c r="AB372" s="341"/>
      <c r="AC372" s="341"/>
      <c r="AD372" s="341"/>
      <c r="AE372" s="341"/>
      <c r="AF372" s="341"/>
      <c r="AG372" s="341"/>
    </row>
    <row r="373" spans="1:33" ht="122.4" customHeight="1" thickBot="1" x14ac:dyDescent="0.45">
      <c r="A373" s="341"/>
      <c r="B373" s="341"/>
      <c r="C373" s="341"/>
      <c r="D373" s="713"/>
      <c r="E373" s="341"/>
      <c r="F373" s="442"/>
      <c r="G373" s="341"/>
      <c r="H373" s="341"/>
      <c r="I373" s="341"/>
      <c r="J373" s="341"/>
      <c r="K373" s="341"/>
      <c r="L373" s="341"/>
      <c r="M373" s="577"/>
      <c r="N373" s="341"/>
      <c r="O373" s="341"/>
      <c r="P373" s="341"/>
      <c r="Q373" s="341"/>
      <c r="R373" s="341"/>
      <c r="S373" s="341"/>
      <c r="T373" s="341"/>
      <c r="U373" s="341"/>
      <c r="V373" s="341"/>
      <c r="W373" s="341"/>
      <c r="X373" s="341"/>
      <c r="Y373" s="341"/>
      <c r="Z373" s="341"/>
      <c r="AA373" s="341"/>
      <c r="AB373" s="341"/>
      <c r="AC373" s="341"/>
      <c r="AD373" s="341"/>
      <c r="AE373" s="341"/>
      <c r="AF373" s="341"/>
      <c r="AG373" s="341"/>
    </row>
    <row r="374" spans="1:33" ht="122.4" customHeight="1" thickBot="1" x14ac:dyDescent="0.45">
      <c r="A374" s="341"/>
      <c r="B374" s="341"/>
      <c r="C374" s="341"/>
      <c r="D374" s="713"/>
      <c r="E374" s="341"/>
      <c r="F374" s="442"/>
      <c r="G374" s="341"/>
      <c r="H374" s="341"/>
      <c r="I374" s="341"/>
      <c r="J374" s="341"/>
      <c r="K374" s="341"/>
      <c r="L374" s="341"/>
      <c r="M374" s="577"/>
      <c r="N374" s="341"/>
      <c r="O374" s="341"/>
      <c r="P374" s="341"/>
      <c r="Q374" s="341"/>
      <c r="R374" s="341"/>
      <c r="S374" s="341"/>
      <c r="T374" s="341"/>
      <c r="U374" s="341"/>
      <c r="V374" s="341"/>
      <c r="W374" s="341"/>
      <c r="X374" s="341"/>
      <c r="Y374" s="341"/>
      <c r="Z374" s="341"/>
      <c r="AA374" s="341"/>
      <c r="AB374" s="341"/>
      <c r="AC374" s="341"/>
      <c r="AD374" s="341"/>
      <c r="AE374" s="341"/>
      <c r="AF374" s="341"/>
      <c r="AG374" s="341"/>
    </row>
    <row r="375" spans="1:33" ht="122.4" customHeight="1" thickBot="1" x14ac:dyDescent="0.45">
      <c r="A375" s="341"/>
      <c r="B375" s="341"/>
      <c r="C375" s="341"/>
      <c r="D375" s="713"/>
      <c r="E375" s="341"/>
      <c r="F375" s="442"/>
      <c r="G375" s="341"/>
      <c r="H375" s="341"/>
      <c r="I375" s="341"/>
      <c r="J375" s="341"/>
      <c r="K375" s="341"/>
      <c r="L375" s="341"/>
      <c r="M375" s="577"/>
      <c r="N375" s="341"/>
      <c r="O375" s="341"/>
      <c r="P375" s="341"/>
      <c r="Q375" s="341"/>
      <c r="R375" s="341"/>
      <c r="S375" s="341"/>
      <c r="T375" s="341"/>
      <c r="U375" s="341"/>
      <c r="V375" s="341"/>
      <c r="W375" s="341"/>
      <c r="X375" s="341"/>
      <c r="Y375" s="341"/>
      <c r="Z375" s="341"/>
      <c r="AA375" s="341"/>
      <c r="AB375" s="341"/>
      <c r="AC375" s="341"/>
      <c r="AD375" s="341"/>
      <c r="AE375" s="341"/>
      <c r="AF375" s="341"/>
      <c r="AG375" s="341"/>
    </row>
    <row r="376" spans="1:33" ht="122.4" customHeight="1" thickBot="1" x14ac:dyDescent="0.45">
      <c r="A376" s="341"/>
      <c r="B376" s="341"/>
      <c r="C376" s="341"/>
      <c r="D376" s="713"/>
      <c r="E376" s="341"/>
      <c r="F376" s="442"/>
      <c r="G376" s="341"/>
      <c r="H376" s="341"/>
      <c r="I376" s="341"/>
      <c r="J376" s="341"/>
      <c r="K376" s="341"/>
      <c r="L376" s="341"/>
      <c r="M376" s="577"/>
      <c r="N376" s="341"/>
      <c r="O376" s="341"/>
      <c r="P376" s="341"/>
      <c r="Q376" s="341"/>
      <c r="R376" s="341"/>
      <c r="S376" s="341"/>
      <c r="T376" s="341"/>
      <c r="U376" s="341"/>
      <c r="V376" s="341"/>
      <c r="W376" s="341"/>
      <c r="X376" s="341"/>
      <c r="Y376" s="341"/>
      <c r="Z376" s="341"/>
      <c r="AA376" s="341"/>
      <c r="AB376" s="341"/>
      <c r="AC376" s="341"/>
      <c r="AD376" s="341"/>
      <c r="AE376" s="341"/>
      <c r="AF376" s="341"/>
      <c r="AG376" s="341"/>
    </row>
    <row r="377" spans="1:33" ht="122.4" customHeight="1" thickBot="1" x14ac:dyDescent="0.45">
      <c r="A377" s="341"/>
      <c r="B377" s="341"/>
      <c r="C377" s="341"/>
      <c r="D377" s="713"/>
      <c r="E377" s="341"/>
      <c r="F377" s="442"/>
      <c r="G377" s="341"/>
      <c r="H377" s="341"/>
      <c r="I377" s="341"/>
      <c r="J377" s="341"/>
      <c r="K377" s="341"/>
      <c r="L377" s="341"/>
      <c r="M377" s="577"/>
      <c r="N377" s="341"/>
      <c r="O377" s="341"/>
      <c r="P377" s="341"/>
      <c r="Q377" s="341"/>
      <c r="R377" s="341"/>
      <c r="S377" s="341"/>
      <c r="T377" s="341"/>
      <c r="U377" s="341"/>
      <c r="V377" s="341"/>
      <c r="W377" s="341"/>
      <c r="X377" s="341"/>
      <c r="Y377" s="341"/>
      <c r="Z377" s="341"/>
      <c r="AA377" s="341"/>
      <c r="AB377" s="341"/>
      <c r="AC377" s="341"/>
      <c r="AD377" s="341"/>
      <c r="AE377" s="341"/>
      <c r="AF377" s="341"/>
      <c r="AG377" s="341"/>
    </row>
    <row r="378" spans="1:33" ht="122.4" customHeight="1" thickBot="1" x14ac:dyDescent="0.45">
      <c r="A378" s="341"/>
      <c r="B378" s="341"/>
      <c r="C378" s="341"/>
      <c r="D378" s="713"/>
      <c r="E378" s="341"/>
      <c r="F378" s="442"/>
      <c r="G378" s="341"/>
      <c r="H378" s="341"/>
      <c r="I378" s="341"/>
      <c r="J378" s="341"/>
      <c r="K378" s="341"/>
      <c r="L378" s="341"/>
      <c r="M378" s="577"/>
      <c r="N378" s="341"/>
      <c r="O378" s="341"/>
      <c r="P378" s="341"/>
      <c r="Q378" s="341"/>
      <c r="R378" s="341"/>
      <c r="S378" s="341"/>
      <c r="T378" s="341"/>
      <c r="U378" s="341"/>
      <c r="V378" s="341"/>
      <c r="W378" s="341"/>
      <c r="X378" s="341"/>
      <c r="Y378" s="341"/>
      <c r="Z378" s="341"/>
      <c r="AA378" s="341"/>
      <c r="AB378" s="341"/>
      <c r="AC378" s="341"/>
      <c r="AD378" s="341"/>
      <c r="AE378" s="341"/>
      <c r="AF378" s="341"/>
      <c r="AG378" s="341"/>
    </row>
    <row r="379" spans="1:33" ht="122.4" customHeight="1" thickBot="1" x14ac:dyDescent="0.45">
      <c r="A379" s="341"/>
      <c r="B379" s="341"/>
      <c r="C379" s="341"/>
      <c r="D379" s="713"/>
      <c r="E379" s="341"/>
      <c r="F379" s="442"/>
      <c r="G379" s="341"/>
      <c r="H379" s="341"/>
      <c r="I379" s="341"/>
      <c r="J379" s="341"/>
      <c r="K379" s="341"/>
      <c r="L379" s="341"/>
      <c r="M379" s="577"/>
      <c r="N379" s="341"/>
      <c r="O379" s="341"/>
      <c r="P379" s="341"/>
      <c r="Q379" s="341"/>
      <c r="R379" s="341"/>
      <c r="S379" s="341"/>
      <c r="T379" s="341"/>
      <c r="U379" s="341"/>
      <c r="V379" s="341"/>
      <c r="W379" s="341"/>
      <c r="X379" s="341"/>
      <c r="Y379" s="341"/>
      <c r="Z379" s="341"/>
      <c r="AA379" s="341"/>
      <c r="AB379" s="341"/>
      <c r="AC379" s="341"/>
      <c r="AD379" s="341"/>
      <c r="AE379" s="341"/>
      <c r="AF379" s="341"/>
      <c r="AG379" s="341"/>
    </row>
    <row r="380" spans="1:33" ht="122.4" customHeight="1" thickBot="1" x14ac:dyDescent="0.45">
      <c r="A380" s="341"/>
      <c r="B380" s="341"/>
      <c r="C380" s="341"/>
      <c r="D380" s="713"/>
      <c r="E380" s="341"/>
      <c r="F380" s="442"/>
      <c r="G380" s="341"/>
      <c r="H380" s="341"/>
      <c r="I380" s="341"/>
      <c r="J380" s="341"/>
      <c r="K380" s="341"/>
      <c r="L380" s="341"/>
      <c r="M380" s="577"/>
      <c r="N380" s="341"/>
      <c r="O380" s="341"/>
      <c r="P380" s="341"/>
      <c r="Q380" s="341"/>
      <c r="R380" s="341"/>
      <c r="S380" s="341"/>
      <c r="T380" s="341"/>
      <c r="U380" s="341"/>
      <c r="V380" s="341"/>
      <c r="W380" s="341"/>
      <c r="X380" s="341"/>
      <c r="Y380" s="341"/>
      <c r="Z380" s="341"/>
      <c r="AA380" s="341"/>
      <c r="AB380" s="341"/>
      <c r="AC380" s="341"/>
      <c r="AD380" s="341"/>
      <c r="AE380" s="341"/>
      <c r="AF380" s="341"/>
      <c r="AG380" s="341"/>
    </row>
    <row r="381" spans="1:33" ht="122.4" customHeight="1" thickBot="1" x14ac:dyDescent="0.45">
      <c r="A381" s="341"/>
      <c r="B381" s="341"/>
      <c r="C381" s="341"/>
      <c r="D381" s="713"/>
      <c r="E381" s="341"/>
      <c r="F381" s="442"/>
      <c r="G381" s="341"/>
      <c r="H381" s="341"/>
      <c r="I381" s="341"/>
      <c r="J381" s="341"/>
      <c r="K381" s="341"/>
      <c r="L381" s="341"/>
      <c r="M381" s="577"/>
      <c r="N381" s="341"/>
      <c r="O381" s="341"/>
      <c r="P381" s="341"/>
      <c r="Q381" s="341"/>
      <c r="R381" s="341"/>
      <c r="S381" s="341"/>
      <c r="T381" s="341"/>
      <c r="U381" s="341"/>
      <c r="V381" s="341"/>
      <c r="W381" s="341"/>
      <c r="X381" s="341"/>
      <c r="Y381" s="341"/>
      <c r="Z381" s="341"/>
      <c r="AA381" s="341"/>
      <c r="AB381" s="341"/>
      <c r="AC381" s="341"/>
      <c r="AD381" s="341"/>
      <c r="AE381" s="341"/>
      <c r="AF381" s="341"/>
      <c r="AG381" s="341"/>
    </row>
    <row r="382" spans="1:33" ht="122.4" customHeight="1" thickBot="1" x14ac:dyDescent="0.45">
      <c r="A382" s="341"/>
      <c r="B382" s="341"/>
      <c r="C382" s="341"/>
      <c r="D382" s="713"/>
      <c r="E382" s="341"/>
      <c r="F382" s="442"/>
      <c r="G382" s="341"/>
      <c r="H382" s="341"/>
      <c r="I382" s="341"/>
      <c r="J382" s="341"/>
      <c r="K382" s="341"/>
      <c r="L382" s="341"/>
      <c r="M382" s="577"/>
      <c r="N382" s="341"/>
      <c r="O382" s="341"/>
      <c r="P382" s="341"/>
      <c r="Q382" s="341"/>
      <c r="R382" s="341"/>
      <c r="S382" s="341"/>
      <c r="T382" s="341"/>
      <c r="U382" s="341"/>
      <c r="V382" s="341"/>
      <c r="W382" s="341"/>
      <c r="X382" s="341"/>
      <c r="Y382" s="341"/>
      <c r="Z382" s="341"/>
      <c r="AA382" s="341"/>
      <c r="AB382" s="341"/>
      <c r="AC382" s="341"/>
      <c r="AD382" s="341"/>
      <c r="AE382" s="341"/>
      <c r="AF382" s="341"/>
      <c r="AG382" s="341"/>
    </row>
    <row r="383" spans="1:33" ht="122.4" customHeight="1" thickBot="1" x14ac:dyDescent="0.45">
      <c r="A383" s="341"/>
      <c r="B383" s="341"/>
      <c r="C383" s="341"/>
      <c r="D383" s="713"/>
      <c r="E383" s="341"/>
      <c r="F383" s="442"/>
      <c r="G383" s="341"/>
      <c r="H383" s="341"/>
      <c r="I383" s="341"/>
      <c r="J383" s="341"/>
      <c r="K383" s="341"/>
      <c r="L383" s="341"/>
      <c r="M383" s="577"/>
      <c r="N383" s="341"/>
      <c r="O383" s="341"/>
      <c r="P383" s="341"/>
      <c r="Q383" s="341"/>
      <c r="R383" s="341"/>
      <c r="S383" s="341"/>
      <c r="T383" s="341"/>
      <c r="U383" s="341"/>
      <c r="V383" s="341"/>
      <c r="W383" s="341"/>
      <c r="X383" s="341"/>
      <c r="Y383" s="341"/>
      <c r="Z383" s="341"/>
      <c r="AA383" s="341"/>
      <c r="AB383" s="341"/>
      <c r="AC383" s="341"/>
      <c r="AD383" s="341"/>
      <c r="AE383" s="341"/>
      <c r="AF383" s="341"/>
      <c r="AG383" s="341"/>
    </row>
    <row r="384" spans="1:33" ht="122.4" customHeight="1" thickBot="1" x14ac:dyDescent="0.45">
      <c r="A384" s="341"/>
      <c r="B384" s="341"/>
      <c r="C384" s="341"/>
      <c r="D384" s="713"/>
      <c r="E384" s="341"/>
      <c r="F384" s="442"/>
      <c r="G384" s="341"/>
      <c r="H384" s="341"/>
      <c r="I384" s="341"/>
      <c r="J384" s="341"/>
      <c r="K384" s="341"/>
      <c r="L384" s="341"/>
      <c r="M384" s="577"/>
      <c r="N384" s="341"/>
      <c r="O384" s="341"/>
      <c r="P384" s="341"/>
      <c r="Q384" s="341"/>
      <c r="R384" s="341"/>
      <c r="S384" s="341"/>
      <c r="T384" s="341"/>
      <c r="U384" s="341"/>
      <c r="V384" s="341"/>
      <c r="W384" s="341"/>
      <c r="X384" s="341"/>
      <c r="Y384" s="341"/>
      <c r="Z384" s="341"/>
      <c r="AA384" s="341"/>
      <c r="AB384" s="341"/>
      <c r="AC384" s="341"/>
      <c r="AD384" s="341"/>
      <c r="AE384" s="341"/>
      <c r="AF384" s="341"/>
      <c r="AG384" s="341"/>
    </row>
    <row r="385" spans="1:33" ht="122.4" customHeight="1" thickBot="1" x14ac:dyDescent="0.45">
      <c r="A385" s="341"/>
      <c r="B385" s="341"/>
      <c r="C385" s="341"/>
      <c r="D385" s="713"/>
      <c r="E385" s="341"/>
      <c r="F385" s="442"/>
      <c r="G385" s="341"/>
      <c r="H385" s="341"/>
      <c r="I385" s="341"/>
      <c r="J385" s="341"/>
      <c r="K385" s="341"/>
      <c r="L385" s="341"/>
      <c r="M385" s="577"/>
      <c r="N385" s="341"/>
      <c r="O385" s="341"/>
      <c r="P385" s="341"/>
      <c r="Q385" s="341"/>
      <c r="R385" s="341"/>
      <c r="S385" s="341"/>
      <c r="T385" s="341"/>
      <c r="U385" s="341"/>
      <c r="V385" s="341"/>
      <c r="W385" s="341"/>
      <c r="X385" s="341"/>
      <c r="Y385" s="341"/>
      <c r="Z385" s="341"/>
      <c r="AA385" s="341"/>
      <c r="AB385" s="341"/>
      <c r="AC385" s="341"/>
      <c r="AD385" s="341"/>
      <c r="AE385" s="341"/>
      <c r="AF385" s="341"/>
      <c r="AG385" s="341"/>
    </row>
    <row r="386" spans="1:33" ht="122.4" customHeight="1" thickBot="1" x14ac:dyDescent="0.45">
      <c r="A386" s="341"/>
      <c r="B386" s="341"/>
      <c r="C386" s="341"/>
      <c r="D386" s="713"/>
      <c r="E386" s="341"/>
      <c r="F386" s="442"/>
      <c r="G386" s="341"/>
      <c r="H386" s="341"/>
      <c r="I386" s="341"/>
      <c r="J386" s="341"/>
      <c r="K386" s="341"/>
      <c r="L386" s="341"/>
      <c r="M386" s="577"/>
      <c r="N386" s="341"/>
      <c r="O386" s="341"/>
      <c r="P386" s="341"/>
      <c r="Q386" s="341"/>
      <c r="R386" s="341"/>
      <c r="S386" s="341"/>
      <c r="T386" s="341"/>
      <c r="U386" s="341"/>
      <c r="V386" s="341"/>
      <c r="W386" s="341"/>
      <c r="X386" s="341"/>
      <c r="Y386" s="341"/>
      <c r="Z386" s="341"/>
      <c r="AA386" s="341"/>
      <c r="AB386" s="341"/>
      <c r="AC386" s="341"/>
      <c r="AD386" s="341"/>
      <c r="AE386" s="341"/>
      <c r="AF386" s="341"/>
      <c r="AG386" s="341"/>
    </row>
    <row r="387" spans="1:33" ht="122.4" customHeight="1" thickBot="1" x14ac:dyDescent="0.45">
      <c r="A387" s="341"/>
      <c r="B387" s="341"/>
      <c r="C387" s="341"/>
      <c r="D387" s="713"/>
      <c r="E387" s="341"/>
      <c r="F387" s="442"/>
      <c r="G387" s="341"/>
      <c r="H387" s="341"/>
      <c r="I387" s="341"/>
      <c r="J387" s="341"/>
      <c r="K387" s="341"/>
      <c r="L387" s="341"/>
      <c r="M387" s="577"/>
      <c r="N387" s="341"/>
      <c r="O387" s="341"/>
      <c r="P387" s="341"/>
      <c r="Q387" s="341"/>
      <c r="R387" s="341"/>
      <c r="S387" s="341"/>
      <c r="T387" s="341"/>
      <c r="U387" s="341"/>
      <c r="V387" s="341"/>
      <c r="W387" s="341"/>
      <c r="X387" s="341"/>
      <c r="Y387" s="341"/>
      <c r="Z387" s="341"/>
      <c r="AA387" s="341"/>
      <c r="AB387" s="341"/>
      <c r="AC387" s="341"/>
      <c r="AD387" s="341"/>
      <c r="AE387" s="341"/>
      <c r="AF387" s="341"/>
      <c r="AG387" s="341"/>
    </row>
    <row r="388" spans="1:33" ht="122.4" customHeight="1" thickBot="1" x14ac:dyDescent="0.45">
      <c r="A388" s="341"/>
      <c r="B388" s="341"/>
      <c r="C388" s="341"/>
      <c r="D388" s="713"/>
      <c r="E388" s="341"/>
      <c r="F388" s="442"/>
      <c r="G388" s="341"/>
      <c r="H388" s="341"/>
      <c r="I388" s="341"/>
      <c r="J388" s="341"/>
      <c r="K388" s="341"/>
      <c r="L388" s="341"/>
      <c r="M388" s="577"/>
      <c r="N388" s="341"/>
      <c r="O388" s="341"/>
      <c r="P388" s="341"/>
      <c r="Q388" s="341"/>
      <c r="R388" s="341"/>
      <c r="S388" s="341"/>
      <c r="T388" s="341"/>
      <c r="U388" s="341"/>
      <c r="V388" s="341"/>
      <c r="W388" s="341"/>
      <c r="X388" s="341"/>
      <c r="Y388" s="341"/>
      <c r="Z388" s="341"/>
      <c r="AA388" s="341"/>
      <c r="AB388" s="341"/>
      <c r="AC388" s="341"/>
      <c r="AD388" s="341"/>
      <c r="AE388" s="341"/>
      <c r="AF388" s="341"/>
      <c r="AG388" s="341"/>
    </row>
    <row r="389" spans="1:33" ht="122.4" customHeight="1" thickBot="1" x14ac:dyDescent="0.45">
      <c r="A389" s="341"/>
      <c r="B389" s="341"/>
      <c r="C389" s="341"/>
      <c r="D389" s="713"/>
      <c r="E389" s="341"/>
      <c r="F389" s="442"/>
      <c r="G389" s="341"/>
      <c r="H389" s="341"/>
      <c r="I389" s="341"/>
      <c r="J389" s="341"/>
      <c r="K389" s="341"/>
      <c r="L389" s="341"/>
      <c r="M389" s="577"/>
      <c r="N389" s="341"/>
      <c r="O389" s="341"/>
      <c r="P389" s="341"/>
      <c r="Q389" s="341"/>
      <c r="R389" s="341"/>
      <c r="S389" s="341"/>
      <c r="T389" s="341"/>
      <c r="U389" s="341"/>
      <c r="V389" s="341"/>
      <c r="W389" s="341"/>
      <c r="X389" s="341"/>
      <c r="Y389" s="341"/>
      <c r="Z389" s="341"/>
      <c r="AA389" s="341"/>
      <c r="AB389" s="341"/>
      <c r="AC389" s="341"/>
      <c r="AD389" s="341"/>
      <c r="AE389" s="341"/>
      <c r="AF389" s="341"/>
      <c r="AG389" s="341"/>
    </row>
    <row r="390" spans="1:33" ht="122.4" customHeight="1" thickBot="1" x14ac:dyDescent="0.45">
      <c r="A390" s="341"/>
      <c r="B390" s="341"/>
      <c r="C390" s="341"/>
      <c r="D390" s="713"/>
      <c r="E390" s="341"/>
      <c r="F390" s="442"/>
      <c r="G390" s="341"/>
      <c r="H390" s="341"/>
      <c r="I390" s="341"/>
      <c r="J390" s="341"/>
      <c r="K390" s="341"/>
      <c r="L390" s="341"/>
      <c r="M390" s="577"/>
      <c r="N390" s="341"/>
      <c r="O390" s="341"/>
      <c r="P390" s="341"/>
      <c r="Q390" s="341"/>
      <c r="R390" s="341"/>
      <c r="S390" s="341"/>
      <c r="T390" s="341"/>
      <c r="U390" s="341"/>
      <c r="V390" s="341"/>
      <c r="W390" s="341"/>
      <c r="X390" s="341"/>
      <c r="Y390" s="341"/>
      <c r="Z390" s="341"/>
      <c r="AA390" s="341"/>
      <c r="AB390" s="341"/>
      <c r="AC390" s="341"/>
      <c r="AD390" s="341"/>
      <c r="AE390" s="341"/>
      <c r="AF390" s="341"/>
      <c r="AG390" s="341"/>
    </row>
    <row r="391" spans="1:33" ht="122.4" customHeight="1" thickBot="1" x14ac:dyDescent="0.45">
      <c r="A391" s="341"/>
      <c r="B391" s="341"/>
      <c r="C391" s="341"/>
      <c r="D391" s="713"/>
      <c r="E391" s="341"/>
      <c r="F391" s="442"/>
      <c r="G391" s="341"/>
      <c r="H391" s="341"/>
      <c r="I391" s="341"/>
      <c r="J391" s="341"/>
      <c r="K391" s="341"/>
      <c r="L391" s="341"/>
      <c r="M391" s="577"/>
      <c r="N391" s="341"/>
      <c r="O391" s="341"/>
      <c r="P391" s="341"/>
      <c r="Q391" s="341"/>
      <c r="R391" s="341"/>
      <c r="S391" s="341"/>
      <c r="T391" s="341"/>
      <c r="U391" s="341"/>
      <c r="V391" s="341"/>
      <c r="W391" s="341"/>
      <c r="X391" s="341"/>
      <c r="Y391" s="341"/>
      <c r="Z391" s="341"/>
      <c r="AA391" s="341"/>
      <c r="AB391" s="341"/>
      <c r="AC391" s="341"/>
      <c r="AD391" s="341"/>
      <c r="AE391" s="341"/>
      <c r="AF391" s="341"/>
      <c r="AG391" s="341"/>
    </row>
    <row r="392" spans="1:33" ht="122.4" customHeight="1" thickBot="1" x14ac:dyDescent="0.45">
      <c r="A392" s="341"/>
      <c r="B392" s="341"/>
      <c r="C392" s="341"/>
      <c r="D392" s="713"/>
      <c r="E392" s="341"/>
      <c r="F392" s="442"/>
      <c r="G392" s="341"/>
      <c r="H392" s="341"/>
      <c r="I392" s="341"/>
      <c r="J392" s="341"/>
      <c r="K392" s="341"/>
      <c r="L392" s="341"/>
      <c r="M392" s="577"/>
      <c r="N392" s="341"/>
      <c r="O392" s="341"/>
      <c r="P392" s="341"/>
      <c r="Q392" s="341"/>
      <c r="R392" s="341"/>
      <c r="S392" s="341"/>
      <c r="T392" s="341"/>
      <c r="U392" s="341"/>
      <c r="V392" s="341"/>
      <c r="W392" s="341"/>
      <c r="X392" s="341"/>
      <c r="Y392" s="341"/>
      <c r="Z392" s="341"/>
      <c r="AA392" s="341"/>
      <c r="AB392" s="341"/>
      <c r="AC392" s="341"/>
      <c r="AD392" s="341"/>
      <c r="AE392" s="341"/>
      <c r="AF392" s="341"/>
      <c r="AG392" s="341"/>
    </row>
    <row r="393" spans="1:33" ht="122.4" customHeight="1" thickBot="1" x14ac:dyDescent="0.45">
      <c r="A393" s="341"/>
      <c r="B393" s="341"/>
      <c r="C393" s="341"/>
      <c r="D393" s="713"/>
      <c r="E393" s="341"/>
      <c r="F393" s="442"/>
      <c r="G393" s="341"/>
      <c r="H393" s="341"/>
      <c r="I393" s="341"/>
      <c r="J393" s="341"/>
      <c r="K393" s="341"/>
      <c r="L393" s="341"/>
      <c r="M393" s="577"/>
      <c r="N393" s="341"/>
      <c r="O393" s="341"/>
      <c r="P393" s="341"/>
      <c r="Q393" s="341"/>
      <c r="R393" s="341"/>
      <c r="S393" s="341"/>
      <c r="T393" s="341"/>
      <c r="U393" s="341"/>
      <c r="V393" s="341"/>
      <c r="W393" s="341"/>
      <c r="X393" s="341"/>
      <c r="Y393" s="341"/>
      <c r="Z393" s="341"/>
      <c r="AA393" s="341"/>
      <c r="AB393" s="341"/>
      <c r="AC393" s="341"/>
      <c r="AD393" s="341"/>
      <c r="AE393" s="341"/>
      <c r="AF393" s="341"/>
      <c r="AG393" s="341"/>
    </row>
    <row r="394" spans="1:33" ht="122.4" customHeight="1" thickBot="1" x14ac:dyDescent="0.45">
      <c r="A394" s="341"/>
      <c r="B394" s="341"/>
      <c r="C394" s="341"/>
      <c r="D394" s="713"/>
      <c r="E394" s="341"/>
      <c r="F394" s="442"/>
      <c r="G394" s="341"/>
      <c r="H394" s="341"/>
      <c r="I394" s="341"/>
      <c r="J394" s="341"/>
      <c r="K394" s="341"/>
      <c r="L394" s="341"/>
      <c r="M394" s="577"/>
      <c r="N394" s="341"/>
      <c r="O394" s="341"/>
      <c r="P394" s="341"/>
      <c r="Q394" s="341"/>
      <c r="R394" s="341"/>
      <c r="S394" s="341"/>
      <c r="T394" s="341"/>
      <c r="U394" s="341"/>
      <c r="V394" s="341"/>
      <c r="W394" s="341"/>
      <c r="X394" s="341"/>
      <c r="Y394" s="341"/>
      <c r="Z394" s="341"/>
      <c r="AA394" s="341"/>
      <c r="AB394" s="341"/>
      <c r="AC394" s="341"/>
      <c r="AD394" s="341"/>
      <c r="AE394" s="341"/>
      <c r="AF394" s="341"/>
      <c r="AG394" s="341"/>
    </row>
    <row r="395" spans="1:33" ht="122.4" customHeight="1" thickBot="1" x14ac:dyDescent="0.45">
      <c r="A395" s="341"/>
      <c r="B395" s="341"/>
      <c r="C395" s="341"/>
      <c r="D395" s="713"/>
      <c r="E395" s="341"/>
      <c r="F395" s="442"/>
      <c r="G395" s="341"/>
      <c r="H395" s="341"/>
      <c r="I395" s="341"/>
      <c r="J395" s="341"/>
      <c r="K395" s="341"/>
      <c r="L395" s="341"/>
      <c r="M395" s="577"/>
      <c r="N395" s="341"/>
      <c r="O395" s="341"/>
      <c r="P395" s="341"/>
      <c r="Q395" s="341"/>
      <c r="R395" s="341"/>
      <c r="S395" s="341"/>
      <c r="T395" s="341"/>
      <c r="U395" s="341"/>
      <c r="V395" s="341"/>
      <c r="W395" s="341"/>
      <c r="X395" s="341"/>
      <c r="Y395" s="341"/>
      <c r="Z395" s="341"/>
      <c r="AA395" s="341"/>
      <c r="AB395" s="341"/>
      <c r="AC395" s="341"/>
      <c r="AD395" s="341"/>
      <c r="AE395" s="341"/>
      <c r="AF395" s="341"/>
      <c r="AG395" s="341"/>
    </row>
    <row r="396" spans="1:33" ht="122.4" customHeight="1" thickBot="1" x14ac:dyDescent="0.45">
      <c r="A396" s="341"/>
      <c r="B396" s="341"/>
      <c r="C396" s="341"/>
      <c r="D396" s="713"/>
      <c r="E396" s="341"/>
      <c r="F396" s="442"/>
      <c r="G396" s="341"/>
      <c r="H396" s="341"/>
      <c r="I396" s="341"/>
      <c r="J396" s="341"/>
      <c r="K396" s="341"/>
      <c r="L396" s="341"/>
      <c r="M396" s="577"/>
      <c r="N396" s="341"/>
      <c r="O396" s="341"/>
      <c r="P396" s="341"/>
      <c r="Q396" s="341"/>
      <c r="R396" s="341"/>
      <c r="S396" s="341"/>
      <c r="T396" s="341"/>
      <c r="U396" s="341"/>
      <c r="V396" s="341"/>
      <c r="W396" s="341"/>
      <c r="X396" s="341"/>
      <c r="Y396" s="341"/>
      <c r="Z396" s="341"/>
      <c r="AA396" s="341"/>
      <c r="AB396" s="341"/>
      <c r="AC396" s="341"/>
      <c r="AD396" s="341"/>
      <c r="AE396" s="341"/>
      <c r="AF396" s="341"/>
      <c r="AG396" s="341"/>
    </row>
    <row r="397" spans="1:33" ht="122.4" customHeight="1" thickBot="1" x14ac:dyDescent="0.45">
      <c r="A397" s="341"/>
      <c r="B397" s="341"/>
      <c r="C397" s="341"/>
      <c r="D397" s="713"/>
      <c r="E397" s="341"/>
      <c r="F397" s="442"/>
      <c r="G397" s="341"/>
      <c r="H397" s="341"/>
      <c r="I397" s="341"/>
      <c r="J397" s="341"/>
      <c r="K397" s="341"/>
      <c r="L397" s="341"/>
      <c r="M397" s="577"/>
      <c r="N397" s="341"/>
      <c r="O397" s="341"/>
      <c r="P397" s="341"/>
      <c r="Q397" s="341"/>
      <c r="R397" s="341"/>
      <c r="S397" s="341"/>
      <c r="T397" s="341"/>
      <c r="U397" s="341"/>
      <c r="V397" s="341"/>
      <c r="W397" s="341"/>
      <c r="X397" s="341"/>
      <c r="Y397" s="341"/>
      <c r="Z397" s="341"/>
      <c r="AA397" s="341"/>
      <c r="AB397" s="341"/>
      <c r="AC397" s="341"/>
      <c r="AD397" s="341"/>
      <c r="AE397" s="341"/>
      <c r="AF397" s="341"/>
      <c r="AG397" s="341"/>
    </row>
    <row r="398" spans="1:33" ht="122.4" customHeight="1" thickBot="1" x14ac:dyDescent="0.45">
      <c r="A398" s="341"/>
      <c r="B398" s="341"/>
      <c r="C398" s="341"/>
      <c r="D398" s="713"/>
      <c r="E398" s="341"/>
      <c r="F398" s="442"/>
      <c r="G398" s="341"/>
      <c r="H398" s="341"/>
      <c r="I398" s="341"/>
      <c r="J398" s="341"/>
      <c r="K398" s="341"/>
      <c r="L398" s="341"/>
      <c r="M398" s="577"/>
      <c r="N398" s="341"/>
      <c r="O398" s="341"/>
      <c r="P398" s="341"/>
      <c r="Q398" s="341"/>
      <c r="R398" s="341"/>
      <c r="S398" s="341"/>
      <c r="T398" s="341"/>
      <c r="U398" s="341"/>
      <c r="V398" s="341"/>
      <c r="W398" s="341"/>
      <c r="X398" s="341"/>
      <c r="Y398" s="341"/>
      <c r="Z398" s="341"/>
      <c r="AA398" s="341"/>
      <c r="AB398" s="341"/>
      <c r="AC398" s="341"/>
      <c r="AD398" s="341"/>
      <c r="AE398" s="341"/>
      <c r="AF398" s="341"/>
      <c r="AG398" s="341"/>
    </row>
    <row r="399" spans="1:33" ht="122.4" customHeight="1" thickBot="1" x14ac:dyDescent="0.45">
      <c r="A399" s="341"/>
      <c r="B399" s="341"/>
      <c r="C399" s="341"/>
      <c r="D399" s="713"/>
      <c r="E399" s="341"/>
      <c r="F399" s="442"/>
      <c r="G399" s="341"/>
      <c r="H399" s="341"/>
      <c r="I399" s="341"/>
      <c r="J399" s="341"/>
      <c r="K399" s="341"/>
      <c r="L399" s="341"/>
      <c r="M399" s="577"/>
      <c r="N399" s="341"/>
      <c r="O399" s="341"/>
      <c r="P399" s="341"/>
      <c r="Q399" s="341"/>
      <c r="R399" s="341"/>
      <c r="S399" s="341"/>
      <c r="T399" s="341"/>
      <c r="U399" s="341"/>
      <c r="V399" s="341"/>
      <c r="W399" s="341"/>
      <c r="X399" s="341"/>
      <c r="Y399" s="341"/>
      <c r="Z399" s="341"/>
      <c r="AA399" s="341"/>
      <c r="AB399" s="341"/>
      <c r="AC399" s="341"/>
      <c r="AD399" s="341"/>
      <c r="AE399" s="341"/>
      <c r="AF399" s="341"/>
      <c r="AG399" s="341"/>
    </row>
    <row r="400" spans="1:33" ht="122.4" customHeight="1" thickBot="1" x14ac:dyDescent="0.45">
      <c r="A400" s="341"/>
      <c r="B400" s="341"/>
      <c r="C400" s="341"/>
      <c r="D400" s="713"/>
      <c r="E400" s="341"/>
      <c r="F400" s="442"/>
      <c r="G400" s="341"/>
      <c r="H400" s="341"/>
      <c r="I400" s="341"/>
      <c r="J400" s="341"/>
      <c r="K400" s="341"/>
      <c r="L400" s="341"/>
      <c r="M400" s="577"/>
      <c r="N400" s="341"/>
      <c r="O400" s="341"/>
      <c r="P400" s="341"/>
      <c r="Q400" s="341"/>
      <c r="R400" s="341"/>
      <c r="S400" s="341"/>
      <c r="T400" s="341"/>
      <c r="U400" s="341"/>
      <c r="V400" s="341"/>
      <c r="W400" s="341"/>
      <c r="X400" s="341"/>
      <c r="Y400" s="341"/>
      <c r="Z400" s="341"/>
      <c r="AA400" s="341"/>
      <c r="AB400" s="341"/>
      <c r="AC400" s="341"/>
      <c r="AD400" s="341"/>
      <c r="AE400" s="341"/>
      <c r="AF400" s="341"/>
      <c r="AG400" s="341"/>
    </row>
    <row r="401" spans="1:33" ht="122.4" customHeight="1" thickBot="1" x14ac:dyDescent="0.45">
      <c r="A401" s="341"/>
      <c r="B401" s="341"/>
      <c r="C401" s="341"/>
      <c r="D401" s="713"/>
      <c r="E401" s="341"/>
      <c r="F401" s="442"/>
      <c r="G401" s="341"/>
      <c r="H401" s="341"/>
      <c r="I401" s="341"/>
      <c r="J401" s="341"/>
      <c r="K401" s="341"/>
      <c r="L401" s="341"/>
      <c r="M401" s="577"/>
      <c r="N401" s="341"/>
      <c r="O401" s="341"/>
      <c r="P401" s="341"/>
      <c r="Q401" s="341"/>
      <c r="R401" s="341"/>
      <c r="S401" s="341"/>
      <c r="T401" s="341"/>
      <c r="U401" s="341"/>
      <c r="V401" s="341"/>
      <c r="W401" s="341"/>
      <c r="X401" s="341"/>
      <c r="Y401" s="341"/>
      <c r="Z401" s="341"/>
      <c r="AA401" s="341"/>
      <c r="AB401" s="341"/>
      <c r="AC401" s="341"/>
      <c r="AD401" s="341"/>
      <c r="AE401" s="341"/>
      <c r="AF401" s="341"/>
      <c r="AG401" s="341"/>
    </row>
    <row r="402" spans="1:33" ht="122.4" customHeight="1" thickBot="1" x14ac:dyDescent="0.45">
      <c r="A402" s="341"/>
      <c r="B402" s="341"/>
      <c r="C402" s="341"/>
      <c r="D402" s="713"/>
      <c r="E402" s="341"/>
      <c r="F402" s="442"/>
      <c r="G402" s="341"/>
      <c r="H402" s="341"/>
      <c r="I402" s="341"/>
      <c r="J402" s="341"/>
      <c r="K402" s="341"/>
      <c r="L402" s="341"/>
      <c r="M402" s="577"/>
      <c r="N402" s="341"/>
      <c r="O402" s="341"/>
      <c r="P402" s="341"/>
      <c r="Q402" s="341"/>
      <c r="R402" s="341"/>
      <c r="S402" s="341"/>
      <c r="T402" s="341"/>
      <c r="U402" s="341"/>
      <c r="V402" s="341"/>
      <c r="W402" s="341"/>
      <c r="X402" s="341"/>
      <c r="Y402" s="341"/>
      <c r="Z402" s="341"/>
      <c r="AA402" s="341"/>
      <c r="AB402" s="341"/>
      <c r="AC402" s="341"/>
      <c r="AD402" s="341"/>
      <c r="AE402" s="341"/>
      <c r="AF402" s="341"/>
      <c r="AG402" s="341"/>
    </row>
    <row r="403" spans="1:33" ht="122.4" customHeight="1" thickBot="1" x14ac:dyDescent="0.45">
      <c r="A403" s="341"/>
      <c r="B403" s="341"/>
      <c r="C403" s="341"/>
      <c r="D403" s="713"/>
      <c r="E403" s="341"/>
      <c r="F403" s="442"/>
      <c r="G403" s="341"/>
      <c r="H403" s="341"/>
      <c r="I403" s="341"/>
      <c r="J403" s="341"/>
      <c r="K403" s="341"/>
      <c r="L403" s="341"/>
      <c r="M403" s="577"/>
      <c r="N403" s="341"/>
      <c r="O403" s="341"/>
      <c r="P403" s="341"/>
      <c r="Q403" s="341"/>
      <c r="R403" s="341"/>
      <c r="S403" s="341"/>
      <c r="T403" s="341"/>
      <c r="U403" s="341"/>
      <c r="V403" s="341"/>
      <c r="W403" s="341"/>
      <c r="X403" s="341"/>
      <c r="Y403" s="341"/>
      <c r="Z403" s="341"/>
      <c r="AA403" s="341"/>
      <c r="AB403" s="341"/>
      <c r="AC403" s="341"/>
      <c r="AD403" s="341"/>
      <c r="AE403" s="341"/>
      <c r="AF403" s="341"/>
      <c r="AG403" s="341"/>
    </row>
    <row r="404" spans="1:33" ht="122.4" customHeight="1" thickBot="1" x14ac:dyDescent="0.45">
      <c r="A404" s="341"/>
      <c r="B404" s="341"/>
      <c r="C404" s="341"/>
      <c r="D404" s="713"/>
      <c r="E404" s="341"/>
      <c r="F404" s="442"/>
      <c r="G404" s="341"/>
      <c r="H404" s="341"/>
      <c r="I404" s="341"/>
      <c r="J404" s="341"/>
      <c r="K404" s="341"/>
      <c r="L404" s="341"/>
      <c r="M404" s="577"/>
      <c r="N404" s="341"/>
      <c r="O404" s="341"/>
      <c r="P404" s="341"/>
      <c r="Q404" s="341"/>
      <c r="R404" s="341"/>
      <c r="S404" s="341"/>
      <c r="T404" s="341"/>
      <c r="U404" s="341"/>
      <c r="V404" s="341"/>
      <c r="W404" s="341"/>
      <c r="X404" s="341"/>
      <c r="Y404" s="341"/>
      <c r="Z404" s="341"/>
      <c r="AA404" s="341"/>
      <c r="AB404" s="341"/>
      <c r="AC404" s="341"/>
      <c r="AD404" s="341"/>
      <c r="AE404" s="341"/>
      <c r="AF404" s="341"/>
      <c r="AG404" s="341"/>
    </row>
    <row r="405" spans="1:33" ht="122.4" customHeight="1" thickBot="1" x14ac:dyDescent="0.45">
      <c r="A405" s="341"/>
      <c r="B405" s="341"/>
      <c r="C405" s="341"/>
      <c r="D405" s="713"/>
      <c r="E405" s="341"/>
      <c r="F405" s="442"/>
      <c r="G405" s="341"/>
      <c r="H405" s="341"/>
      <c r="I405" s="341"/>
      <c r="J405" s="341"/>
      <c r="K405" s="341"/>
      <c r="L405" s="341"/>
      <c r="M405" s="577"/>
      <c r="N405" s="341"/>
      <c r="O405" s="341"/>
      <c r="P405" s="341"/>
      <c r="Q405" s="341"/>
      <c r="R405" s="341"/>
      <c r="S405" s="341"/>
      <c r="T405" s="341"/>
      <c r="U405" s="341"/>
      <c r="V405" s="341"/>
      <c r="W405" s="341"/>
      <c r="X405" s="341"/>
      <c r="Y405" s="341"/>
      <c r="Z405" s="341"/>
      <c r="AA405" s="341"/>
      <c r="AB405" s="341"/>
      <c r="AC405" s="341"/>
      <c r="AD405" s="341"/>
      <c r="AE405" s="341"/>
      <c r="AF405" s="341"/>
      <c r="AG405" s="341"/>
    </row>
  </sheetData>
  <sheetProtection password="DF7C" sheet="1" objects="1" scenarios="1"/>
  <autoFilter ref="A2:AN205" xr:uid="{00000000-0009-0000-0000-000001000000}"/>
  <mergeCells count="47">
    <mergeCell ref="B182:C182"/>
    <mergeCell ref="B184:C184"/>
    <mergeCell ref="B164:C164"/>
    <mergeCell ref="B165:C165"/>
    <mergeCell ref="B170:C170"/>
    <mergeCell ref="B173:C173"/>
    <mergeCell ref="B176:C176"/>
    <mergeCell ref="B187:C187"/>
    <mergeCell ref="B192:C192"/>
    <mergeCell ref="B193:C193"/>
    <mergeCell ref="B198:C198"/>
    <mergeCell ref="B203:C203"/>
    <mergeCell ref="B140:C140"/>
    <mergeCell ref="B145:C145"/>
    <mergeCell ref="B148:C148"/>
    <mergeCell ref="B154:C154"/>
    <mergeCell ref="B160:C160"/>
    <mergeCell ref="B122:C122"/>
    <mergeCell ref="B124:C124"/>
    <mergeCell ref="B126:C126"/>
    <mergeCell ref="B130:C130"/>
    <mergeCell ref="B131:C131"/>
    <mergeCell ref="B92:C92"/>
    <mergeCell ref="B101:C101"/>
    <mergeCell ref="B106:C106"/>
    <mergeCell ref="B119:C119"/>
    <mergeCell ref="B120:C120"/>
    <mergeCell ref="B68:C68"/>
    <mergeCell ref="B73:C73"/>
    <mergeCell ref="B77:C77"/>
    <mergeCell ref="B85:C85"/>
    <mergeCell ref="B91:C91"/>
    <mergeCell ref="B43:C43"/>
    <mergeCell ref="B49:C49"/>
    <mergeCell ref="B52:C52"/>
    <mergeCell ref="B56:C56"/>
    <mergeCell ref="B60:C60"/>
    <mergeCell ref="B15:C15"/>
    <mergeCell ref="B21:C21"/>
    <mergeCell ref="B29:C29"/>
    <mergeCell ref="B34:C34"/>
    <mergeCell ref="B39:C39"/>
    <mergeCell ref="B2:C2"/>
    <mergeCell ref="B3:C3"/>
    <mergeCell ref="B4:C4"/>
    <mergeCell ref="B5:C5"/>
    <mergeCell ref="B12:C12"/>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I1000"/>
  <sheetViews>
    <sheetView topLeftCell="B1" zoomScale="29" zoomScaleNormal="29" workbookViewId="0">
      <pane xSplit="2" ySplit="5" topLeftCell="M6" activePane="bottomRight" state="frozen"/>
      <selection activeCell="B1" sqref="B1"/>
      <selection pane="topRight" activeCell="D1" sqref="D1"/>
      <selection pane="bottomLeft" activeCell="B6" sqref="B6"/>
      <selection pane="bottomRight" activeCell="U10" sqref="U10"/>
    </sheetView>
  </sheetViews>
  <sheetFormatPr baseColWidth="10" defaultColWidth="14.44140625" defaultRowHeight="15" customHeight="1" x14ac:dyDescent="0.35"/>
  <cols>
    <col min="1" max="1" width="10.6640625" style="183" hidden="1" customWidth="1"/>
    <col min="2" max="2" width="60.44140625" style="183" customWidth="1"/>
    <col min="3" max="3" width="88.77734375" style="183" customWidth="1"/>
    <col min="4" max="4" width="49.6640625" style="183" customWidth="1"/>
    <col min="5" max="5" width="37.77734375" style="242" customWidth="1"/>
    <col min="6" max="6" width="32.6640625" style="183" customWidth="1"/>
    <col min="7" max="7" width="33.33203125" style="183" customWidth="1"/>
    <col min="8" max="8" width="31.33203125" style="183" customWidth="1"/>
    <col min="9" max="9" width="33.33203125" style="183" customWidth="1"/>
    <col min="10" max="10" width="34.6640625" style="183" customWidth="1"/>
    <col min="11" max="11" width="38.6640625" style="183" customWidth="1"/>
    <col min="12" max="12" width="34.44140625" style="183" customWidth="1"/>
    <col min="13" max="13" width="32.88671875" style="183" customWidth="1"/>
    <col min="14" max="14" width="36.5546875" style="183" customWidth="1"/>
    <col min="15" max="15" width="33.21875" style="183" customWidth="1"/>
    <col min="16" max="16" width="35.77734375" style="183" customWidth="1"/>
    <col min="17" max="18" width="31.33203125" style="183" customWidth="1"/>
    <col min="19" max="19" width="25.77734375" style="183" customWidth="1"/>
    <col min="20" max="20" width="31.33203125" style="183" customWidth="1"/>
    <col min="21" max="22" width="36.5546875" style="183" customWidth="1"/>
    <col min="23" max="23" width="35.21875" style="183" customWidth="1"/>
    <col min="24" max="24" width="35.44140625" style="183" customWidth="1"/>
    <col min="25" max="25" width="33.21875" style="183" customWidth="1"/>
    <col min="26" max="26" width="35.88671875" style="183" customWidth="1"/>
    <col min="27" max="27" width="37.21875" style="183" customWidth="1"/>
    <col min="28" max="28" width="44.88671875" style="183" customWidth="1"/>
    <col min="29" max="29" width="48.5546875" style="183" hidden="1" customWidth="1"/>
    <col min="30" max="30" width="77.5546875" style="183" hidden="1" customWidth="1"/>
    <col min="31" max="31" width="75.33203125" style="183" hidden="1" customWidth="1"/>
    <col min="32" max="32" width="73.33203125" style="183" hidden="1" customWidth="1"/>
    <col min="33" max="33" width="85.109375" style="183" hidden="1" customWidth="1"/>
    <col min="34" max="34" width="63.77734375" style="183" hidden="1" customWidth="1"/>
    <col min="35" max="35" width="71" style="183" hidden="1" customWidth="1"/>
    <col min="36" max="36" width="38.5546875" style="183" customWidth="1"/>
    <col min="37" max="41" width="10.6640625" style="183" customWidth="1"/>
    <col min="42" max="16384" width="14.44140625" style="183"/>
  </cols>
  <sheetData>
    <row r="1" spans="1:113" ht="18.600000000000001" thickBot="1" x14ac:dyDescent="0.4">
      <c r="A1" s="180"/>
      <c r="B1" s="181"/>
      <c r="C1" s="181"/>
      <c r="D1" s="181"/>
      <c r="E1" s="182"/>
      <c r="F1" s="181"/>
      <c r="G1" s="181"/>
      <c r="H1" s="181"/>
      <c r="I1" s="181"/>
      <c r="J1" s="181"/>
      <c r="K1" s="181"/>
      <c r="L1" s="181"/>
      <c r="M1" s="181"/>
      <c r="N1" s="181"/>
      <c r="O1" s="181"/>
      <c r="P1" s="181"/>
      <c r="Q1" s="181"/>
      <c r="R1" s="181"/>
      <c r="S1" s="181"/>
      <c r="T1" s="181"/>
      <c r="U1" s="181"/>
      <c r="V1" s="181"/>
      <c r="W1" s="181"/>
      <c r="X1" s="181"/>
      <c r="Y1" s="181"/>
      <c r="Z1" s="181"/>
      <c r="AA1" s="181"/>
      <c r="AB1" s="181"/>
      <c r="AC1" s="181"/>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row>
    <row r="2" spans="1:113" s="342" customFormat="1" ht="152.4" customHeight="1" thickBot="1" x14ac:dyDescent="0.45">
      <c r="A2" s="334"/>
      <c r="B2" s="1294" t="s">
        <v>0</v>
      </c>
      <c r="C2" s="1295"/>
      <c r="D2" s="335" t="s">
        <v>1</v>
      </c>
      <c r="E2" s="336" t="s">
        <v>2</v>
      </c>
      <c r="F2" s="337" t="s">
        <v>3</v>
      </c>
      <c r="G2" s="337" t="s">
        <v>4</v>
      </c>
      <c r="H2" s="337" t="s">
        <v>1873</v>
      </c>
      <c r="I2" s="337" t="s">
        <v>5</v>
      </c>
      <c r="J2" s="337" t="s">
        <v>1874</v>
      </c>
      <c r="K2" s="338" t="s">
        <v>6</v>
      </c>
      <c r="L2" s="338" t="s">
        <v>1875</v>
      </c>
      <c r="M2" s="339" t="s">
        <v>1847</v>
      </c>
      <c r="N2" s="1157" t="s">
        <v>1876</v>
      </c>
      <c r="O2" s="1157" t="s">
        <v>1878</v>
      </c>
      <c r="P2" s="1157" t="s">
        <v>1877</v>
      </c>
      <c r="Q2" s="1157" t="s">
        <v>2442</v>
      </c>
      <c r="R2" s="1157" t="s">
        <v>2486</v>
      </c>
      <c r="S2" s="1157" t="s">
        <v>1879</v>
      </c>
      <c r="T2" s="1157" t="s">
        <v>1880</v>
      </c>
      <c r="U2" s="539" t="s">
        <v>7</v>
      </c>
      <c r="V2" s="1196" t="s">
        <v>2487</v>
      </c>
      <c r="W2" s="464" t="s">
        <v>8</v>
      </c>
      <c r="X2" s="1165" t="s">
        <v>2489</v>
      </c>
      <c r="Y2" s="463" t="s">
        <v>1882</v>
      </c>
      <c r="Z2" s="1197" t="s">
        <v>2488</v>
      </c>
      <c r="AA2" s="667" t="s">
        <v>1849</v>
      </c>
      <c r="AB2" s="1165" t="s">
        <v>2490</v>
      </c>
      <c r="AC2" s="340" t="s">
        <v>2491</v>
      </c>
      <c r="AD2" s="600" t="s">
        <v>1883</v>
      </c>
      <c r="AE2" s="601" t="s">
        <v>2298</v>
      </c>
      <c r="AF2" s="1082" t="s">
        <v>2299</v>
      </c>
      <c r="AG2" s="1083" t="s">
        <v>2351</v>
      </c>
      <c r="AH2" s="1083" t="s">
        <v>2443</v>
      </c>
      <c r="AI2" s="1083" t="s">
        <v>1881</v>
      </c>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c r="BT2" s="341"/>
      <c r="BU2" s="341"/>
      <c r="BV2" s="341"/>
      <c r="BW2" s="341"/>
      <c r="BX2" s="341"/>
      <c r="BY2" s="341"/>
      <c r="BZ2" s="341"/>
      <c r="CA2" s="341"/>
      <c r="CB2" s="341"/>
      <c r="CC2" s="341"/>
      <c r="CD2" s="341"/>
      <c r="CE2" s="341"/>
      <c r="CF2" s="341"/>
      <c r="CG2" s="341"/>
      <c r="CH2" s="341"/>
      <c r="CI2" s="341"/>
      <c r="CJ2" s="341"/>
      <c r="CK2" s="341"/>
      <c r="CL2" s="341"/>
      <c r="CM2" s="341"/>
      <c r="CN2" s="341"/>
      <c r="CO2" s="341"/>
      <c r="CP2" s="341"/>
      <c r="CQ2" s="341"/>
      <c r="CR2" s="341"/>
      <c r="CS2" s="341"/>
      <c r="CT2" s="341"/>
      <c r="CU2" s="341"/>
      <c r="CV2" s="341"/>
      <c r="CW2" s="341"/>
      <c r="CX2" s="341"/>
      <c r="CY2" s="341"/>
      <c r="CZ2" s="341"/>
      <c r="DA2" s="341"/>
      <c r="DB2" s="341"/>
      <c r="DC2" s="341"/>
      <c r="DD2" s="341"/>
      <c r="DE2" s="341"/>
      <c r="DF2" s="341"/>
      <c r="DG2" s="341"/>
      <c r="DH2" s="341"/>
      <c r="DI2" s="341"/>
    </row>
    <row r="3" spans="1:113" s="249" customFormat="1" ht="93" customHeight="1" thickBot="1" x14ac:dyDescent="0.75">
      <c r="A3" s="243"/>
      <c r="B3" s="1321" t="s">
        <v>1789</v>
      </c>
      <c r="C3" s="1322"/>
      <c r="D3" s="244"/>
      <c r="E3" s="245">
        <v>0.15</v>
      </c>
      <c r="F3" s="246"/>
      <c r="G3" s="247"/>
      <c r="H3" s="247"/>
      <c r="I3" s="591">
        <f>+(I4+I15+I33+I45+I67+I100+I124)/7</f>
        <v>0.25743535350812591</v>
      </c>
      <c r="J3" s="591">
        <f>+(J4+J15+J33+J45+J67+J100+J124)/7</f>
        <v>0.30996708312904808</v>
      </c>
      <c r="K3" s="592">
        <f>+(K4+K15+K33+K45+K67+K100+K124)/7</f>
        <v>0.19244539710966052</v>
      </c>
      <c r="L3" s="592">
        <f>+(L4+L15+L33+L45+L67+L100+L124)/7</f>
        <v>0.29997897073411611</v>
      </c>
      <c r="M3" s="248"/>
      <c r="N3" s="248"/>
      <c r="O3" s="248"/>
      <c r="P3" s="248"/>
      <c r="Q3" s="248"/>
      <c r="R3" s="248"/>
      <c r="S3" s="248"/>
      <c r="T3" s="248"/>
      <c r="U3" s="593">
        <f>+(U4+U15+U33+U45+U67+U100+U124)/7</f>
        <v>0.97179365079365077</v>
      </c>
      <c r="V3" s="593">
        <f>+(V4+V15+V33+V45+V67+V100+V124)/7</f>
        <v>0.7753023577263406</v>
      </c>
      <c r="W3" s="594">
        <f>F4+F15+F33+F45+F67+F100+F124</f>
        <v>0.557975</v>
      </c>
      <c r="X3" s="594">
        <f>H4+H15+H33+H45+H67+H100+H124</f>
        <v>0.57308346002855104</v>
      </c>
      <c r="Y3" s="593">
        <f>+(Y4+Y15+Y33+Y45+Y67+Y100+Y124)/7</f>
        <v>0.23822719251375898</v>
      </c>
      <c r="Z3" s="975">
        <f>+(Z4+Z15+Z33+Z45+Z67+Z100+Z124)/7</f>
        <v>0.48812060511247513</v>
      </c>
      <c r="AA3" s="594">
        <f>+(AA4+AA15+AA33+AA45+AA67+AA100+AA124)/7</f>
        <v>0.20423570426118634</v>
      </c>
      <c r="AB3" s="849">
        <f>+(AB4*E4)+(AB15*E15)+(AB33*E33)+(AB45*E45)+(AB67*E67)+(AB100*E100)+(AB124*E124)</f>
        <v>0.47717044466787067</v>
      </c>
      <c r="AC3" s="1094"/>
      <c r="AD3" s="1099"/>
      <c r="AE3" s="1099"/>
      <c r="AF3" s="1099"/>
      <c r="AG3" s="1099"/>
      <c r="AH3" s="1099"/>
      <c r="AI3" s="186"/>
      <c r="AJ3" s="180"/>
      <c r="AK3" s="180"/>
      <c r="AL3" s="180"/>
      <c r="AM3" s="180"/>
      <c r="AN3" s="180"/>
      <c r="AO3" s="180"/>
      <c r="AP3" s="180"/>
      <c r="AQ3" s="180"/>
      <c r="AR3" s="180"/>
      <c r="AS3" s="180"/>
      <c r="AT3" s="180"/>
      <c r="AU3" s="180"/>
      <c r="AV3" s="180"/>
      <c r="AW3" s="180"/>
      <c r="AX3" s="180"/>
      <c r="AY3" s="180"/>
      <c r="AZ3" s="180"/>
      <c r="BA3" s="180"/>
      <c r="BB3" s="180"/>
      <c r="BC3" s="180"/>
    </row>
    <row r="4" spans="1:113" ht="78" customHeight="1" thickBot="1" x14ac:dyDescent="0.4">
      <c r="A4" s="184"/>
      <c r="B4" s="1323" t="s">
        <v>1788</v>
      </c>
      <c r="C4" s="1324"/>
      <c r="D4" s="185"/>
      <c r="E4" s="187">
        <v>0.1</v>
      </c>
      <c r="F4" s="188">
        <f>+E4*W4</f>
        <v>9.64E-2</v>
      </c>
      <c r="G4" s="189"/>
      <c r="H4" s="188">
        <f>+E4*X4</f>
        <v>6.770000000000001E-2</v>
      </c>
      <c r="I4" s="190">
        <f>+(I5+I11)/2</f>
        <v>0.32500000000000001</v>
      </c>
      <c r="J4" s="190">
        <f>+(J5+J11)/2</f>
        <v>0.28333333333333333</v>
      </c>
      <c r="K4" s="191">
        <f>+(K5+K11)/2</f>
        <v>0.33750000000000002</v>
      </c>
      <c r="L4" s="191">
        <f>+(L5+L11)/2</f>
        <v>0.31874999999999998</v>
      </c>
      <c r="M4" s="192"/>
      <c r="N4" s="192"/>
      <c r="O4" s="192"/>
      <c r="P4" s="192"/>
      <c r="Q4" s="192"/>
      <c r="R4" s="192"/>
      <c r="S4" s="192"/>
      <c r="T4" s="192"/>
      <c r="U4" s="190">
        <f>+(U5+U11)/2</f>
        <v>0.98</v>
      </c>
      <c r="V4" s="190">
        <f>+(V5+V11)/2</f>
        <v>0.72499999999999998</v>
      </c>
      <c r="W4" s="191">
        <f>+W5+W11</f>
        <v>0.96399999999999997</v>
      </c>
      <c r="X4" s="191">
        <f>+X5+X11</f>
        <v>0.67700000000000005</v>
      </c>
      <c r="Y4" s="190">
        <f>(Y5+Y11)/2</f>
        <v>0.37</v>
      </c>
      <c r="Z4" s="190">
        <f>(Z5+Z11)/2</f>
        <v>0.59083333333333332</v>
      </c>
      <c r="AA4" s="191">
        <f>+AA5+AA11</f>
        <v>0.32100000000000001</v>
      </c>
      <c r="AB4" s="191">
        <f>+(AB5*E5)+(AB11*E11)</f>
        <v>0.55075000000000007</v>
      </c>
      <c r="AC4" s="1095"/>
      <c r="AD4" s="192"/>
      <c r="AE4" s="192"/>
      <c r="AF4" s="192"/>
      <c r="AG4" s="192"/>
      <c r="AH4" s="192"/>
      <c r="AI4" s="186"/>
      <c r="AJ4" s="180"/>
      <c r="AK4" s="180"/>
      <c r="AL4" s="180"/>
      <c r="AM4" s="180"/>
      <c r="AN4" s="180"/>
      <c r="AO4" s="180"/>
      <c r="AP4" s="180"/>
      <c r="AQ4" s="180"/>
      <c r="AR4" s="180"/>
      <c r="AS4" s="180"/>
      <c r="AT4" s="180"/>
      <c r="AU4" s="180"/>
      <c r="AV4" s="180"/>
      <c r="AW4" s="180"/>
      <c r="AX4" s="180"/>
      <c r="AY4" s="180"/>
      <c r="AZ4" s="180"/>
      <c r="BA4" s="180"/>
      <c r="BB4" s="180"/>
      <c r="BC4" s="180"/>
    </row>
    <row r="5" spans="1:113" ht="39" customHeight="1" thickBot="1" x14ac:dyDescent="0.4">
      <c r="A5" s="184"/>
      <c r="B5" s="1319" t="s">
        <v>1700</v>
      </c>
      <c r="C5" s="1324"/>
      <c r="D5" s="194"/>
      <c r="E5" s="195">
        <v>0.4</v>
      </c>
      <c r="F5" s="196"/>
      <c r="G5" s="197"/>
      <c r="H5" s="197"/>
      <c r="I5" s="198">
        <f>+AVERAGE(I6:I10)</f>
        <v>0.4</v>
      </c>
      <c r="J5" s="198">
        <f>+AVERAGE(J6:J10)</f>
        <v>0.3</v>
      </c>
      <c r="K5" s="198">
        <f>+K6+K7+K8+K9+K10</f>
        <v>0.42499999999999999</v>
      </c>
      <c r="L5" s="198">
        <f>+L6+L7+L8+L9+L10</f>
        <v>0.36249999999999999</v>
      </c>
      <c r="M5" s="199"/>
      <c r="N5" s="199"/>
      <c r="O5" s="199"/>
      <c r="P5" s="199"/>
      <c r="Q5" s="199"/>
      <c r="R5" s="199"/>
      <c r="S5" s="199"/>
      <c r="T5" s="199"/>
      <c r="U5" s="221">
        <f>+AVERAGE(U6:U10)</f>
        <v>1</v>
      </c>
      <c r="V5" s="221">
        <f>+AVERAGE(V6:V10)</f>
        <v>0.65</v>
      </c>
      <c r="W5" s="221">
        <f>+(W6+W7+W8+W9+W10)*E5</f>
        <v>0.4</v>
      </c>
      <c r="X5" s="221">
        <f>+(X6+X7+X8+X9+X10)*E5</f>
        <v>0.21200000000000002</v>
      </c>
      <c r="Y5" s="198">
        <f>+AVERAGE(Y6:Y10)</f>
        <v>0.5</v>
      </c>
      <c r="Z5" s="198">
        <f>+AVERAGE(Z6:Z10)</f>
        <v>0.73</v>
      </c>
      <c r="AA5" s="198">
        <f>+(AA6+AA7+AA8+AA9+AA10)*E5</f>
        <v>0.18000000000000002</v>
      </c>
      <c r="AB5" s="198">
        <f>+(AB6+AB7+AB8+AB9+AB10)</f>
        <v>0.70750000000000002</v>
      </c>
      <c r="AC5" s="679"/>
      <c r="AD5" s="192"/>
      <c r="AE5" s="192"/>
      <c r="AF5" s="192"/>
      <c r="AG5" s="192"/>
      <c r="AH5" s="192"/>
      <c r="AI5" s="186"/>
      <c r="AJ5" s="180"/>
      <c r="AK5" s="180"/>
      <c r="AL5" s="180"/>
      <c r="AM5" s="180"/>
      <c r="AN5" s="180"/>
      <c r="AO5" s="180"/>
      <c r="AP5" s="180"/>
      <c r="AQ5" s="180"/>
      <c r="AR5" s="180"/>
      <c r="AS5" s="180"/>
      <c r="AT5" s="180"/>
      <c r="AU5" s="180"/>
      <c r="AV5" s="180"/>
      <c r="AW5" s="180"/>
      <c r="AX5" s="180"/>
      <c r="AY5" s="180"/>
      <c r="AZ5" s="180"/>
      <c r="BA5" s="180"/>
      <c r="BB5" s="180"/>
      <c r="BC5" s="180"/>
    </row>
    <row r="6" spans="1:113" ht="76.95" customHeight="1" thickBot="1" x14ac:dyDescent="0.4">
      <c r="A6" s="184"/>
      <c r="B6" s="930" t="s">
        <v>681</v>
      </c>
      <c r="C6" s="905" t="s">
        <v>1390</v>
      </c>
      <c r="D6" s="194" t="s">
        <v>683</v>
      </c>
      <c r="E6" s="203">
        <v>0.05</v>
      </c>
      <c r="F6" s="204">
        <v>1</v>
      </c>
      <c r="G6" s="199">
        <v>0.5</v>
      </c>
      <c r="H6" s="272"/>
      <c r="I6" s="205">
        <f>+G6/F6</f>
        <v>0.5</v>
      </c>
      <c r="J6" s="205">
        <f>+H6/F6</f>
        <v>0</v>
      </c>
      <c r="K6" s="205">
        <f>+(G6/F6)*E6</f>
        <v>2.5000000000000001E-2</v>
      </c>
      <c r="L6" s="205">
        <f>+(H6/F6)*E6</f>
        <v>0</v>
      </c>
      <c r="M6" s="199">
        <v>1</v>
      </c>
      <c r="N6" s="595"/>
      <c r="O6" s="595"/>
      <c r="P6" s="595"/>
      <c r="Q6" s="595">
        <v>0</v>
      </c>
      <c r="R6" s="199"/>
      <c r="S6" s="199">
        <f>+N6+O6+P6+Q6+R6</f>
        <v>0</v>
      </c>
      <c r="T6" s="199">
        <f>+S6+M6</f>
        <v>1</v>
      </c>
      <c r="U6" s="205">
        <v>1</v>
      </c>
      <c r="V6" s="205"/>
      <c r="W6" s="207">
        <f>+U6*E6</f>
        <v>0.05</v>
      </c>
      <c r="X6" s="207">
        <f>+V6*E6</f>
        <v>0</v>
      </c>
      <c r="Y6" s="205">
        <f>+M6/F6</f>
        <v>1</v>
      </c>
      <c r="Z6" s="205">
        <f>+T6/F6</f>
        <v>1</v>
      </c>
      <c r="AA6" s="205">
        <f>+Y6*E6</f>
        <v>0.05</v>
      </c>
      <c r="AB6" s="205">
        <f>+Z6*E6</f>
        <v>0.05</v>
      </c>
      <c r="AC6" s="672" t="s">
        <v>1591</v>
      </c>
      <c r="AD6" s="719" t="s">
        <v>1898</v>
      </c>
      <c r="AE6" s="719" t="s">
        <v>1898</v>
      </c>
      <c r="AF6" s="1100" t="s">
        <v>2296</v>
      </c>
      <c r="AG6" s="1100" t="s">
        <v>2412</v>
      </c>
      <c r="AH6" s="1100" t="s">
        <v>2447</v>
      </c>
      <c r="AI6" s="719" t="s">
        <v>2580</v>
      </c>
      <c r="AJ6" s="180"/>
      <c r="AK6" s="180"/>
      <c r="AL6" s="180"/>
      <c r="AM6" s="180"/>
      <c r="AN6" s="180"/>
      <c r="AO6" s="180"/>
      <c r="AP6" s="180"/>
      <c r="AQ6" s="180"/>
      <c r="AR6" s="180"/>
      <c r="AS6" s="180"/>
      <c r="AT6" s="180"/>
      <c r="AU6" s="180"/>
      <c r="AV6" s="180"/>
      <c r="AW6" s="180"/>
      <c r="AX6" s="180"/>
      <c r="AY6" s="180"/>
      <c r="AZ6" s="180"/>
      <c r="BA6" s="180"/>
      <c r="BB6" s="180"/>
      <c r="BC6" s="180"/>
    </row>
    <row r="7" spans="1:113" ht="89.4" customHeight="1" thickBot="1" x14ac:dyDescent="0.4">
      <c r="A7" s="184"/>
      <c r="B7" s="1012" t="s">
        <v>682</v>
      </c>
      <c r="C7" s="1242" t="s">
        <v>1391</v>
      </c>
      <c r="D7" s="194" t="s">
        <v>683</v>
      </c>
      <c r="E7" s="203">
        <v>0.25</v>
      </c>
      <c r="F7" s="204">
        <v>4</v>
      </c>
      <c r="G7" s="199">
        <v>2</v>
      </c>
      <c r="H7" s="199">
        <v>2</v>
      </c>
      <c r="I7" s="205">
        <f>+G7/F7</f>
        <v>0.5</v>
      </c>
      <c r="J7" s="205">
        <f t="shared" ref="J7:J14" si="0">+H7/F7</f>
        <v>0.5</v>
      </c>
      <c r="K7" s="205">
        <f>+(G7/F7)*E7</f>
        <v>0.125</v>
      </c>
      <c r="L7" s="205">
        <f t="shared" ref="L7:L14" si="1">+(H7/F7)*E7</f>
        <v>0.125</v>
      </c>
      <c r="M7" s="199">
        <v>2</v>
      </c>
      <c r="N7" s="595">
        <v>0</v>
      </c>
      <c r="O7" s="595">
        <v>0.2</v>
      </c>
      <c r="P7" s="595">
        <v>0.2</v>
      </c>
      <c r="Q7" s="595">
        <v>0.2</v>
      </c>
      <c r="R7" s="595">
        <v>1.4</v>
      </c>
      <c r="S7" s="199">
        <f t="shared" ref="S7:S9" si="2">+N7+O7+P7+Q7+R7</f>
        <v>2</v>
      </c>
      <c r="T7" s="199">
        <f t="shared" ref="T7:T10" si="3">+S7+M7</f>
        <v>4</v>
      </c>
      <c r="U7" s="205">
        <f>+(M7/G7)</f>
        <v>1</v>
      </c>
      <c r="V7" s="205">
        <f t="shared" ref="V7:V14" si="4">+S7/H7</f>
        <v>1</v>
      </c>
      <c r="W7" s="207">
        <f>+U7*E7</f>
        <v>0.25</v>
      </c>
      <c r="X7" s="207">
        <f t="shared" ref="X7:X14" si="5">+V7*E7</f>
        <v>0.25</v>
      </c>
      <c r="Y7" s="205">
        <f>+M7/F7</f>
        <v>0.5</v>
      </c>
      <c r="Z7" s="205">
        <f t="shared" ref="Z7:Z13" si="6">+T7/F7</f>
        <v>1</v>
      </c>
      <c r="AA7" s="205">
        <f>+Y7*E7</f>
        <v>0.125</v>
      </c>
      <c r="AB7" s="205">
        <f>+Z7*E7</f>
        <v>0.25</v>
      </c>
      <c r="AC7" s="636" t="s">
        <v>1850</v>
      </c>
      <c r="AD7" s="1101" t="s">
        <v>1893</v>
      </c>
      <c r="AE7" s="1101" t="s">
        <v>2275</v>
      </c>
      <c r="AF7" s="1100" t="s">
        <v>2296</v>
      </c>
      <c r="AG7" s="1100" t="s">
        <v>2412</v>
      </c>
      <c r="AH7" s="1100" t="s">
        <v>2447</v>
      </c>
      <c r="AI7" s="1100" t="s">
        <v>2564</v>
      </c>
      <c r="AJ7" s="180"/>
      <c r="AK7" s="180"/>
      <c r="AL7" s="180"/>
      <c r="AM7" s="180"/>
      <c r="AN7" s="180"/>
      <c r="AO7" s="180"/>
      <c r="AP7" s="180"/>
      <c r="AQ7" s="180"/>
      <c r="AR7" s="180"/>
      <c r="AS7" s="180"/>
      <c r="AT7" s="180"/>
      <c r="AU7" s="180"/>
      <c r="AV7" s="180"/>
      <c r="AW7" s="180"/>
      <c r="AX7" s="180"/>
      <c r="AY7" s="180"/>
      <c r="AZ7" s="180"/>
      <c r="BA7" s="180"/>
      <c r="BB7" s="180"/>
      <c r="BC7" s="180"/>
    </row>
    <row r="8" spans="1:113" ht="108.6" customHeight="1" thickBot="1" x14ac:dyDescent="0.4">
      <c r="A8" s="184"/>
      <c r="B8" s="1012" t="s">
        <v>684</v>
      </c>
      <c r="C8" s="1242" t="s">
        <v>1392</v>
      </c>
      <c r="D8" s="211" t="s">
        <v>683</v>
      </c>
      <c r="E8" s="203">
        <v>0.25</v>
      </c>
      <c r="F8" s="204">
        <v>8</v>
      </c>
      <c r="G8" s="199">
        <v>2</v>
      </c>
      <c r="H8" s="199">
        <v>4</v>
      </c>
      <c r="I8" s="205">
        <f>+G8/F8</f>
        <v>0.25</v>
      </c>
      <c r="J8" s="205">
        <f t="shared" si="0"/>
        <v>0.5</v>
      </c>
      <c r="K8" s="205">
        <f>+(G8/F8)*E8</f>
        <v>6.25E-2</v>
      </c>
      <c r="L8" s="205">
        <f>+(H8/F8)*E8</f>
        <v>0.125</v>
      </c>
      <c r="M8" s="199">
        <v>2</v>
      </c>
      <c r="N8" s="595">
        <v>0</v>
      </c>
      <c r="O8" s="595">
        <v>0.5</v>
      </c>
      <c r="P8" s="595">
        <v>0.5</v>
      </c>
      <c r="Q8" s="595">
        <v>0</v>
      </c>
      <c r="R8" s="595">
        <v>3</v>
      </c>
      <c r="S8" s="199">
        <f t="shared" si="2"/>
        <v>4</v>
      </c>
      <c r="T8" s="199">
        <f t="shared" si="3"/>
        <v>6</v>
      </c>
      <c r="U8" s="205">
        <f>+(M8/G8)</f>
        <v>1</v>
      </c>
      <c r="V8" s="205">
        <f t="shared" si="4"/>
        <v>1</v>
      </c>
      <c r="W8" s="207">
        <f>+U8*E8</f>
        <v>0.25</v>
      </c>
      <c r="X8" s="207">
        <f t="shared" si="5"/>
        <v>0.25</v>
      </c>
      <c r="Y8" s="205">
        <f>+M8/F8</f>
        <v>0.25</v>
      </c>
      <c r="Z8" s="205">
        <f t="shared" si="6"/>
        <v>0.75</v>
      </c>
      <c r="AA8" s="205">
        <f>+Y8*E8</f>
        <v>6.25E-2</v>
      </c>
      <c r="AB8" s="205">
        <f>+Z8*E8</f>
        <v>0.1875</v>
      </c>
      <c r="AC8" s="636" t="s">
        <v>1850</v>
      </c>
      <c r="AD8" s="1101" t="s">
        <v>1893</v>
      </c>
      <c r="AE8" s="1101" t="s">
        <v>2275</v>
      </c>
      <c r="AF8" s="1100" t="s">
        <v>2296</v>
      </c>
      <c r="AG8" s="1100" t="s">
        <v>2412</v>
      </c>
      <c r="AH8" s="1100" t="s">
        <v>2447</v>
      </c>
      <c r="AI8" s="1100" t="s">
        <v>2564</v>
      </c>
      <c r="AJ8" s="180"/>
      <c r="AK8" s="180"/>
      <c r="AL8" s="180"/>
      <c r="AM8" s="180"/>
      <c r="AN8" s="180"/>
      <c r="AO8" s="180"/>
      <c r="AP8" s="180"/>
      <c r="AQ8" s="180"/>
      <c r="AR8" s="180"/>
      <c r="AS8" s="180"/>
      <c r="AT8" s="180"/>
      <c r="AU8" s="180"/>
      <c r="AV8" s="180"/>
      <c r="AW8" s="180"/>
      <c r="AX8" s="180"/>
      <c r="AY8" s="180"/>
      <c r="AZ8" s="180"/>
      <c r="BA8" s="180"/>
      <c r="BB8" s="180"/>
      <c r="BC8" s="180"/>
    </row>
    <row r="9" spans="1:113" ht="75.599999999999994" customHeight="1" thickBot="1" x14ac:dyDescent="0.4">
      <c r="A9" s="184"/>
      <c r="B9" s="930" t="s">
        <v>685</v>
      </c>
      <c r="C9" s="934" t="s">
        <v>1393</v>
      </c>
      <c r="D9" s="213" t="s">
        <v>683</v>
      </c>
      <c r="E9" s="203">
        <v>0.4</v>
      </c>
      <c r="F9" s="204">
        <v>4</v>
      </c>
      <c r="G9" s="199">
        <v>2</v>
      </c>
      <c r="H9" s="638">
        <v>1</v>
      </c>
      <c r="I9" s="205">
        <f>+G9/F9</f>
        <v>0.5</v>
      </c>
      <c r="J9" s="205">
        <f t="shared" si="0"/>
        <v>0.25</v>
      </c>
      <c r="K9" s="278">
        <f>+(G9/F9)*E9</f>
        <v>0.2</v>
      </c>
      <c r="L9" s="205">
        <f t="shared" si="1"/>
        <v>0.1</v>
      </c>
      <c r="M9" s="199">
        <v>2</v>
      </c>
      <c r="N9" s="595">
        <v>0</v>
      </c>
      <c r="O9" s="595">
        <v>0</v>
      </c>
      <c r="P9" s="595">
        <v>0</v>
      </c>
      <c r="Q9" s="595">
        <v>0</v>
      </c>
      <c r="R9" s="199"/>
      <c r="S9" s="199">
        <f t="shared" si="2"/>
        <v>0</v>
      </c>
      <c r="T9" s="199">
        <f t="shared" si="3"/>
        <v>2</v>
      </c>
      <c r="U9" s="205">
        <f>+(M9/G9)</f>
        <v>1</v>
      </c>
      <c r="V9" s="205">
        <f t="shared" si="4"/>
        <v>0</v>
      </c>
      <c r="W9" s="207">
        <f>+U9*E9</f>
        <v>0.4</v>
      </c>
      <c r="X9" s="207">
        <f t="shared" si="5"/>
        <v>0</v>
      </c>
      <c r="Y9" s="205">
        <f>+M9/F9</f>
        <v>0.5</v>
      </c>
      <c r="Z9" s="205">
        <f t="shared" si="6"/>
        <v>0.5</v>
      </c>
      <c r="AA9" s="205">
        <f>+Y9*E9</f>
        <v>0.2</v>
      </c>
      <c r="AB9" s="205">
        <f>+Z9*E9</f>
        <v>0.2</v>
      </c>
      <c r="AC9" s="636" t="s">
        <v>1850</v>
      </c>
      <c r="AD9" s="719" t="s">
        <v>1997</v>
      </c>
      <c r="AE9" s="1101" t="s">
        <v>2275</v>
      </c>
      <c r="AF9" s="719" t="s">
        <v>2304</v>
      </c>
      <c r="AG9" s="719" t="s">
        <v>2304</v>
      </c>
      <c r="AH9" s="719" t="s">
        <v>2304</v>
      </c>
      <c r="AI9" s="719" t="s">
        <v>2304</v>
      </c>
      <c r="AJ9" s="180"/>
      <c r="AK9" s="180"/>
      <c r="AL9" s="180"/>
      <c r="AM9" s="180"/>
      <c r="AN9" s="180"/>
      <c r="AO9" s="180"/>
      <c r="AP9" s="180"/>
      <c r="AQ9" s="180"/>
      <c r="AR9" s="180"/>
      <c r="AS9" s="180"/>
      <c r="AT9" s="180"/>
      <c r="AU9" s="180"/>
      <c r="AV9" s="180"/>
      <c r="AW9" s="180"/>
      <c r="AX9" s="180"/>
      <c r="AY9" s="180"/>
      <c r="AZ9" s="180"/>
      <c r="BA9" s="180"/>
      <c r="BB9" s="180"/>
      <c r="BC9" s="180"/>
    </row>
    <row r="10" spans="1:113" ht="121.2" customHeight="1" thickBot="1" x14ac:dyDescent="0.4">
      <c r="A10" s="184"/>
      <c r="B10" s="1012" t="s">
        <v>686</v>
      </c>
      <c r="C10" s="1242" t="s">
        <v>1394</v>
      </c>
      <c r="D10" s="214" t="s">
        <v>683</v>
      </c>
      <c r="E10" s="203">
        <v>0.05</v>
      </c>
      <c r="F10" s="204">
        <v>4</v>
      </c>
      <c r="G10" s="199">
        <v>1</v>
      </c>
      <c r="H10" s="199">
        <v>1</v>
      </c>
      <c r="I10" s="205">
        <f>+G10/F10</f>
        <v>0.25</v>
      </c>
      <c r="J10" s="205">
        <f t="shared" si="0"/>
        <v>0.25</v>
      </c>
      <c r="K10" s="205">
        <f>+(G10/F10)*E10</f>
        <v>1.2500000000000001E-2</v>
      </c>
      <c r="L10" s="205">
        <f t="shared" si="1"/>
        <v>1.2500000000000001E-2</v>
      </c>
      <c r="M10" s="199">
        <v>1</v>
      </c>
      <c r="N10" s="595">
        <v>0</v>
      </c>
      <c r="O10" s="595">
        <v>0</v>
      </c>
      <c r="P10" s="595">
        <v>0</v>
      </c>
      <c r="Q10" s="595">
        <v>0.6</v>
      </c>
      <c r="R10" s="595"/>
      <c r="S10" s="199">
        <f>+N10+O10+P10+Q10+R10</f>
        <v>0.6</v>
      </c>
      <c r="T10" s="199">
        <f t="shared" si="3"/>
        <v>1.6</v>
      </c>
      <c r="U10" s="205">
        <f>+(M10/G10)</f>
        <v>1</v>
      </c>
      <c r="V10" s="205">
        <f t="shared" si="4"/>
        <v>0.6</v>
      </c>
      <c r="W10" s="207">
        <f>+U10*E10</f>
        <v>0.05</v>
      </c>
      <c r="X10" s="207">
        <f t="shared" si="5"/>
        <v>0.03</v>
      </c>
      <c r="Y10" s="205">
        <f>+M10/F10</f>
        <v>0.25</v>
      </c>
      <c r="Z10" s="205">
        <f t="shared" si="6"/>
        <v>0.4</v>
      </c>
      <c r="AA10" s="205">
        <f>+Y10*E10</f>
        <v>1.2500000000000001E-2</v>
      </c>
      <c r="AB10" s="205">
        <f>+Z10*E10</f>
        <v>2.0000000000000004E-2</v>
      </c>
      <c r="AC10" s="636" t="s">
        <v>1850</v>
      </c>
      <c r="AD10" s="192"/>
      <c r="AE10" s="1101" t="s">
        <v>2275</v>
      </c>
      <c r="AF10" s="1100" t="s">
        <v>2296</v>
      </c>
      <c r="AG10" s="1100" t="s">
        <v>2412</v>
      </c>
      <c r="AH10" s="1100" t="s">
        <v>2447</v>
      </c>
      <c r="AI10" s="1100" t="s">
        <v>2564</v>
      </c>
      <c r="AJ10" s="180"/>
      <c r="AK10" s="180"/>
      <c r="AL10" s="180"/>
      <c r="AM10" s="180"/>
      <c r="AN10" s="180"/>
      <c r="AO10" s="180"/>
      <c r="AP10" s="180"/>
      <c r="AQ10" s="180"/>
      <c r="AR10" s="180"/>
      <c r="AS10" s="180"/>
      <c r="AT10" s="180"/>
      <c r="AU10" s="180"/>
      <c r="AV10" s="180"/>
      <c r="AW10" s="180"/>
      <c r="AX10" s="180"/>
      <c r="AY10" s="180"/>
      <c r="AZ10" s="180"/>
      <c r="BA10" s="180"/>
      <c r="BB10" s="180"/>
      <c r="BC10" s="180"/>
    </row>
    <row r="11" spans="1:113" ht="28.5" customHeight="1" thickBot="1" x14ac:dyDescent="0.4">
      <c r="A11" s="184"/>
      <c r="B11" s="1319" t="s">
        <v>1701</v>
      </c>
      <c r="C11" s="1320"/>
      <c r="D11" s="214"/>
      <c r="E11" s="195">
        <v>0.6</v>
      </c>
      <c r="F11" s="196"/>
      <c r="G11" s="197"/>
      <c r="H11" s="197"/>
      <c r="I11" s="198">
        <f>+AVERAGE(I12:I14)</f>
        <v>0.25</v>
      </c>
      <c r="J11" s="198">
        <f>+AVERAGE(J12:J14)</f>
        <v>0.26666666666666666</v>
      </c>
      <c r="K11" s="198">
        <f>+K12+K13+K14</f>
        <v>0.25</v>
      </c>
      <c r="L11" s="198">
        <f>+L12+L13+L14</f>
        <v>0.27500000000000002</v>
      </c>
      <c r="M11" s="199"/>
      <c r="N11" s="199"/>
      <c r="O11" s="199"/>
      <c r="P11" s="199"/>
      <c r="Q11" s="199"/>
      <c r="R11" s="199"/>
      <c r="S11" s="199"/>
      <c r="T11" s="199"/>
      <c r="U11" s="221">
        <f>+AVERAGE(U12:U14)</f>
        <v>0.96</v>
      </c>
      <c r="V11" s="221">
        <f>+AVERAGE(V12:V14)</f>
        <v>0.79999999999999993</v>
      </c>
      <c r="W11" s="221">
        <f>+(W12+W13+W14)*E11</f>
        <v>0.56399999999999995</v>
      </c>
      <c r="X11" s="221">
        <f>+(X12+X13+X14)*E11</f>
        <v>0.46499999999999997</v>
      </c>
      <c r="Y11" s="198">
        <f>+AVERAGE(Y12:Y14)</f>
        <v>0.24</v>
      </c>
      <c r="Z11" s="198">
        <f>+AVERAGE(Z12:Z14)</f>
        <v>0.45166666666666666</v>
      </c>
      <c r="AA11" s="198">
        <f>+(AA12+AA13+AA14)*E11</f>
        <v>0.14099999999999999</v>
      </c>
      <c r="AB11" s="198">
        <f>+(AB12+AB13+AB14)</f>
        <v>0.44624999999999998</v>
      </c>
      <c r="AC11" s="679"/>
      <c r="AD11" s="192"/>
      <c r="AE11" s="192"/>
      <c r="AF11" s="192"/>
      <c r="AG11" s="192"/>
      <c r="AH11" s="192"/>
      <c r="AI11" s="186"/>
      <c r="AJ11" s="180"/>
      <c r="AK11" s="180"/>
      <c r="AL11" s="180"/>
      <c r="AM11" s="180"/>
      <c r="AN11" s="180"/>
      <c r="AO11" s="180"/>
      <c r="AP11" s="180"/>
      <c r="AQ11" s="180"/>
      <c r="AR11" s="180"/>
      <c r="AS11" s="180"/>
      <c r="AT11" s="180"/>
      <c r="AU11" s="180"/>
      <c r="AV11" s="180"/>
      <c r="AW11" s="180"/>
      <c r="AX11" s="180"/>
      <c r="AY11" s="180"/>
      <c r="AZ11" s="180"/>
      <c r="BA11" s="180"/>
      <c r="BB11" s="180"/>
      <c r="BC11" s="180"/>
    </row>
    <row r="12" spans="1:113" ht="49.2" customHeight="1" thickBot="1" x14ac:dyDescent="0.4">
      <c r="A12" s="184"/>
      <c r="B12" s="1012" t="s">
        <v>687</v>
      </c>
      <c r="C12" s="1254" t="s">
        <v>1395</v>
      </c>
      <c r="D12" s="214" t="s">
        <v>683</v>
      </c>
      <c r="E12" s="203">
        <v>0.25</v>
      </c>
      <c r="F12" s="204">
        <v>4</v>
      </c>
      <c r="G12" s="199">
        <v>1</v>
      </c>
      <c r="H12" s="199">
        <v>1</v>
      </c>
      <c r="I12" s="205">
        <f>+G12/F12</f>
        <v>0.25</v>
      </c>
      <c r="J12" s="205">
        <f t="shared" si="0"/>
        <v>0.25</v>
      </c>
      <c r="K12" s="205">
        <f>+(G12/F12)*E12</f>
        <v>6.25E-2</v>
      </c>
      <c r="L12" s="205">
        <f t="shared" si="1"/>
        <v>6.25E-2</v>
      </c>
      <c r="M12" s="199">
        <v>1</v>
      </c>
      <c r="N12" s="595">
        <v>0.1</v>
      </c>
      <c r="O12" s="595">
        <v>0.9</v>
      </c>
      <c r="P12" s="595">
        <v>0</v>
      </c>
      <c r="Q12" s="595">
        <v>0</v>
      </c>
      <c r="R12" s="595"/>
      <c r="S12" s="199">
        <f>+N12+O12+P12+Q12+R12</f>
        <v>1</v>
      </c>
      <c r="T12" s="199">
        <f t="shared" ref="T12:T14" si="7">+S12+M12</f>
        <v>2</v>
      </c>
      <c r="U12" s="205">
        <f>+(M12/G12)</f>
        <v>1</v>
      </c>
      <c r="V12" s="205">
        <f t="shared" si="4"/>
        <v>1</v>
      </c>
      <c r="W12" s="207">
        <f>+U12*E12</f>
        <v>0.25</v>
      </c>
      <c r="X12" s="207">
        <f t="shared" si="5"/>
        <v>0.25</v>
      </c>
      <c r="Y12" s="205">
        <f>+M12/F12</f>
        <v>0.25</v>
      </c>
      <c r="Z12" s="205">
        <f t="shared" si="6"/>
        <v>0.5</v>
      </c>
      <c r="AA12" s="205">
        <f>+Y12*E12</f>
        <v>6.25E-2</v>
      </c>
      <c r="AB12" s="205">
        <f>+Z12*E12</f>
        <v>0.125</v>
      </c>
      <c r="AC12" s="636" t="s">
        <v>1850</v>
      </c>
      <c r="AD12" s="1101" t="s">
        <v>1893</v>
      </c>
      <c r="AE12" s="1101" t="s">
        <v>2275</v>
      </c>
      <c r="AF12" s="1100" t="s">
        <v>2296</v>
      </c>
      <c r="AG12" s="719" t="s">
        <v>2429</v>
      </c>
      <c r="AH12" s="192"/>
      <c r="AI12" s="1100" t="s">
        <v>2564</v>
      </c>
      <c r="AJ12" s="180"/>
      <c r="AK12" s="180"/>
      <c r="AL12" s="180"/>
      <c r="AM12" s="180"/>
      <c r="AN12" s="180"/>
      <c r="AO12" s="180"/>
      <c r="AP12" s="180"/>
      <c r="AQ12" s="180"/>
      <c r="AR12" s="180"/>
      <c r="AS12" s="180"/>
      <c r="AT12" s="180"/>
      <c r="AU12" s="180"/>
      <c r="AV12" s="180"/>
      <c r="AW12" s="180"/>
      <c r="AX12" s="180"/>
      <c r="AY12" s="180"/>
      <c r="AZ12" s="180"/>
      <c r="BA12" s="180"/>
      <c r="BB12" s="180"/>
      <c r="BC12" s="180"/>
    </row>
    <row r="13" spans="1:113" ht="57.6" customHeight="1" thickBot="1" x14ac:dyDescent="0.4">
      <c r="A13" s="184"/>
      <c r="B13" s="1001" t="s">
        <v>688</v>
      </c>
      <c r="C13" s="1002" t="s">
        <v>1396</v>
      </c>
      <c r="D13" s="214" t="s">
        <v>683</v>
      </c>
      <c r="E13" s="203">
        <v>0.5</v>
      </c>
      <c r="F13" s="204">
        <v>100</v>
      </c>
      <c r="G13" s="199">
        <v>25</v>
      </c>
      <c r="H13" s="199">
        <v>30</v>
      </c>
      <c r="I13" s="205">
        <f>+G13/F13</f>
        <v>0.25</v>
      </c>
      <c r="J13" s="205">
        <f t="shared" si="0"/>
        <v>0.3</v>
      </c>
      <c r="K13" s="205">
        <f>+(G13/F13)*E13</f>
        <v>0.125</v>
      </c>
      <c r="L13" s="205">
        <f t="shared" si="1"/>
        <v>0.15</v>
      </c>
      <c r="M13" s="199">
        <v>22</v>
      </c>
      <c r="N13" s="595">
        <v>0</v>
      </c>
      <c r="O13" s="595">
        <v>15</v>
      </c>
      <c r="P13" s="595">
        <v>0</v>
      </c>
      <c r="Q13" s="595"/>
      <c r="R13" s="595">
        <v>6</v>
      </c>
      <c r="S13" s="199">
        <f t="shared" ref="S13:S14" si="8">+N13+O13+P13+Q13+R13</f>
        <v>21</v>
      </c>
      <c r="T13" s="199">
        <f t="shared" si="7"/>
        <v>43</v>
      </c>
      <c r="U13" s="205">
        <f>+(M13/G13)</f>
        <v>0.88</v>
      </c>
      <c r="V13" s="205">
        <f t="shared" si="4"/>
        <v>0.7</v>
      </c>
      <c r="W13" s="207">
        <f>+U13*E13</f>
        <v>0.44</v>
      </c>
      <c r="X13" s="207">
        <f t="shared" si="5"/>
        <v>0.35</v>
      </c>
      <c r="Y13" s="205">
        <f>+M13/F13</f>
        <v>0.22</v>
      </c>
      <c r="Z13" s="205">
        <f t="shared" si="6"/>
        <v>0.43</v>
      </c>
      <c r="AA13" s="205">
        <f>+Y13*E13</f>
        <v>0.11</v>
      </c>
      <c r="AB13" s="205">
        <f>+Z13*E13</f>
        <v>0.215</v>
      </c>
      <c r="AC13" s="636" t="s">
        <v>1850</v>
      </c>
      <c r="AD13" s="1101" t="s">
        <v>1893</v>
      </c>
      <c r="AE13" s="1101" t="s">
        <v>2275</v>
      </c>
      <c r="AF13" s="1100" t="s">
        <v>2296</v>
      </c>
      <c r="AG13" s="1100" t="s">
        <v>2412</v>
      </c>
      <c r="AH13" s="192"/>
      <c r="AI13" s="1100" t="s">
        <v>2564</v>
      </c>
      <c r="AJ13" s="180"/>
      <c r="AK13" s="180"/>
      <c r="AL13" s="180"/>
      <c r="AM13" s="180"/>
      <c r="AN13" s="180"/>
      <c r="AO13" s="180"/>
      <c r="AP13" s="180"/>
      <c r="AQ13" s="180"/>
      <c r="AR13" s="180"/>
      <c r="AS13" s="180"/>
      <c r="AT13" s="180"/>
      <c r="AU13" s="180"/>
      <c r="AV13" s="180"/>
      <c r="AW13" s="180"/>
      <c r="AX13" s="180"/>
      <c r="AY13" s="180"/>
      <c r="AZ13" s="180"/>
      <c r="BA13" s="180"/>
      <c r="BB13" s="180"/>
      <c r="BC13" s="180"/>
    </row>
    <row r="14" spans="1:113" ht="72.599999999999994" customHeight="1" thickBot="1" x14ac:dyDescent="0.4">
      <c r="A14" s="184"/>
      <c r="B14" s="1001" t="s">
        <v>689</v>
      </c>
      <c r="C14" s="1002" t="s">
        <v>1397</v>
      </c>
      <c r="D14" s="214" t="s">
        <v>683</v>
      </c>
      <c r="E14" s="203">
        <v>0.25</v>
      </c>
      <c r="F14" s="204">
        <v>4</v>
      </c>
      <c r="G14" s="199">
        <v>1</v>
      </c>
      <c r="H14" s="199">
        <v>1</v>
      </c>
      <c r="I14" s="205">
        <f>+G14/F14</f>
        <v>0.25</v>
      </c>
      <c r="J14" s="205">
        <f t="shared" si="0"/>
        <v>0.25</v>
      </c>
      <c r="K14" s="205">
        <f>+(G14/F14)*E14</f>
        <v>6.25E-2</v>
      </c>
      <c r="L14" s="205">
        <f t="shared" si="1"/>
        <v>6.25E-2</v>
      </c>
      <c r="M14" s="199">
        <v>1</v>
      </c>
      <c r="N14" s="595">
        <v>0.1</v>
      </c>
      <c r="O14" s="595">
        <v>0.2</v>
      </c>
      <c r="P14" s="595">
        <v>0.3</v>
      </c>
      <c r="Q14" s="595"/>
      <c r="R14" s="595">
        <v>0.1</v>
      </c>
      <c r="S14" s="199">
        <f t="shared" si="8"/>
        <v>0.70000000000000007</v>
      </c>
      <c r="T14" s="199">
        <f t="shared" si="7"/>
        <v>1.7000000000000002</v>
      </c>
      <c r="U14" s="205">
        <f>+(M14/G14)</f>
        <v>1</v>
      </c>
      <c r="V14" s="205">
        <f t="shared" si="4"/>
        <v>0.70000000000000007</v>
      </c>
      <c r="W14" s="207">
        <f>+U14*E14</f>
        <v>0.25</v>
      </c>
      <c r="X14" s="207">
        <f t="shared" si="5"/>
        <v>0.17500000000000002</v>
      </c>
      <c r="Y14" s="205">
        <f>+M14/F14</f>
        <v>0.25</v>
      </c>
      <c r="Z14" s="205">
        <f>+T14/F14</f>
        <v>0.42500000000000004</v>
      </c>
      <c r="AA14" s="205">
        <f>+Y14*E14</f>
        <v>6.25E-2</v>
      </c>
      <c r="AB14" s="205">
        <f>+Z14*E14</f>
        <v>0.10625000000000001</v>
      </c>
      <c r="AC14" s="636" t="s">
        <v>1850</v>
      </c>
      <c r="AD14" s="1101" t="s">
        <v>1893</v>
      </c>
      <c r="AE14" s="1101" t="s">
        <v>2275</v>
      </c>
      <c r="AF14" s="1100" t="s">
        <v>2296</v>
      </c>
      <c r="AG14" s="719" t="s">
        <v>2430</v>
      </c>
      <c r="AH14" s="192"/>
      <c r="AI14" s="1100" t="s">
        <v>2564</v>
      </c>
      <c r="AJ14" s="180"/>
      <c r="AK14" s="180"/>
      <c r="AL14" s="180"/>
      <c r="AM14" s="180"/>
      <c r="AN14" s="180"/>
      <c r="AO14" s="180"/>
      <c r="AP14" s="180"/>
      <c r="AQ14" s="180"/>
      <c r="AR14" s="180"/>
      <c r="AS14" s="180"/>
      <c r="AT14" s="180"/>
      <c r="AU14" s="180"/>
      <c r="AV14" s="180"/>
      <c r="AW14" s="180"/>
      <c r="AX14" s="180"/>
      <c r="AY14" s="180"/>
      <c r="AZ14" s="180"/>
      <c r="BA14" s="180"/>
      <c r="BB14" s="180"/>
      <c r="BC14" s="180"/>
    </row>
    <row r="15" spans="1:113" ht="93" customHeight="1" thickBot="1" x14ac:dyDescent="0.4">
      <c r="A15" s="184"/>
      <c r="B15" s="1323" t="s">
        <v>1790</v>
      </c>
      <c r="C15" s="1324"/>
      <c r="D15" s="214"/>
      <c r="E15" s="187">
        <v>0.15</v>
      </c>
      <c r="F15" s="188">
        <f>+E15*W15</f>
        <v>9.7499999999999989E-2</v>
      </c>
      <c r="G15" s="192"/>
      <c r="H15" s="188">
        <f>+E15*X15</f>
        <v>0.1150875</v>
      </c>
      <c r="I15" s="190">
        <f>+(I16+I21+I24+I28)/4</f>
        <v>0.28770833333333334</v>
      </c>
      <c r="J15" s="190">
        <f>+(J16+J21+J24+J28)/4</f>
        <v>0.34704861111111107</v>
      </c>
      <c r="K15" s="191">
        <f>+(K16+K21+K24+K28)/4</f>
        <v>0.20433333333333331</v>
      </c>
      <c r="L15" s="191">
        <f>+(L16+L21+L24+L28)/4</f>
        <v>0.33291666666666664</v>
      </c>
      <c r="M15" s="192"/>
      <c r="N15" s="192"/>
      <c r="O15" s="192"/>
      <c r="P15" s="192"/>
      <c r="Q15" s="192"/>
      <c r="R15" s="1209"/>
      <c r="S15" s="192"/>
      <c r="T15" s="192"/>
      <c r="U15" s="190">
        <f>+(U16+U21+U24+U28)/4</f>
        <v>1</v>
      </c>
      <c r="V15" s="190">
        <f>+(V16+V21+V24+V28)/4</f>
        <v>0.82645833333333329</v>
      </c>
      <c r="W15" s="191">
        <f>+W16+W21+W24+W28</f>
        <v>0.64999999999999991</v>
      </c>
      <c r="X15" s="191">
        <f>+X16+X21+X24+X28</f>
        <v>0.76724999999999999</v>
      </c>
      <c r="Y15" s="190">
        <f>(Y16+Y21+Y24+Y28)/4</f>
        <v>0.23097916666666671</v>
      </c>
      <c r="Z15" s="190">
        <f>(Z16+Z21+Z24+Z28)/4</f>
        <v>0.58986633269720101</v>
      </c>
      <c r="AA15" s="191">
        <f>+AA16+AA21+AA24+AA28</f>
        <v>0.373</v>
      </c>
      <c r="AB15" s="191">
        <f>+(AB16*E16)+(AB21*E21)+(AB24*E24)+(AB28*E28)</f>
        <v>0.65223139312977096</v>
      </c>
      <c r="AC15" s="1096"/>
      <c r="AD15" s="192"/>
      <c r="AE15" s="192"/>
      <c r="AF15" s="192"/>
      <c r="AG15" s="192"/>
      <c r="AH15" s="192"/>
      <c r="AI15" s="186"/>
      <c r="AJ15" s="180"/>
      <c r="AK15" s="180"/>
      <c r="AL15" s="180"/>
      <c r="AM15" s="180"/>
      <c r="AN15" s="180"/>
      <c r="AO15" s="180"/>
      <c r="AP15" s="180"/>
      <c r="AQ15" s="180"/>
      <c r="AR15" s="180"/>
      <c r="AS15" s="180"/>
      <c r="AT15" s="180"/>
      <c r="AU15" s="180"/>
      <c r="AV15" s="180"/>
      <c r="AW15" s="180"/>
      <c r="AX15" s="180"/>
      <c r="AY15" s="180"/>
      <c r="AZ15" s="180"/>
      <c r="BA15" s="180"/>
      <c r="BB15" s="180"/>
      <c r="BC15" s="180"/>
    </row>
    <row r="16" spans="1:113" ht="72" customHeight="1" thickBot="1" x14ac:dyDescent="0.4">
      <c r="A16" s="184"/>
      <c r="B16" s="1319" t="s">
        <v>1702</v>
      </c>
      <c r="C16" s="1320"/>
      <c r="D16" s="214"/>
      <c r="E16" s="195">
        <v>0.25</v>
      </c>
      <c r="F16" s="216"/>
      <c r="G16" s="199"/>
      <c r="H16" s="199"/>
      <c r="I16" s="198">
        <f>+AVERAGE(I17:I20)</f>
        <v>0.25</v>
      </c>
      <c r="J16" s="198">
        <f>+AVERAGE(J17:J20)</f>
        <v>0.21875</v>
      </c>
      <c r="K16" s="198">
        <f>+K17+K18+K19+K20</f>
        <v>0.25</v>
      </c>
      <c r="L16" s="198">
        <f>+L17+L18+L19+L20</f>
        <v>0.22500000000000001</v>
      </c>
      <c r="M16" s="197"/>
      <c r="N16" s="197"/>
      <c r="O16" s="197"/>
      <c r="P16" s="197"/>
      <c r="Q16" s="197"/>
      <c r="R16" s="1210"/>
      <c r="S16" s="197"/>
      <c r="T16" s="197"/>
      <c r="U16" s="221">
        <f>+AVERAGE(U17:U20)</f>
        <v>1</v>
      </c>
      <c r="V16" s="221">
        <f>+AVERAGE(V17:V20)</f>
        <v>0.82250000000000001</v>
      </c>
      <c r="W16" s="221">
        <f>+(W17+W18+W19+W20)*E16</f>
        <v>0.25</v>
      </c>
      <c r="X16" s="221">
        <f>+(X17+X18+X19+X20)*E16</f>
        <v>0.19974999999999998</v>
      </c>
      <c r="Y16" s="198">
        <f>+AVERAGE(Y17:Y20)</f>
        <v>0.4375</v>
      </c>
      <c r="Z16" s="198">
        <f>+AVERAGE(Z17:Z20)</f>
        <v>0.72187500000000004</v>
      </c>
      <c r="AA16" s="198">
        <f>+(AA17+AA18+AA19+AA20)*E16</f>
        <v>0.17500000000000002</v>
      </c>
      <c r="AB16" s="198">
        <f>+(AB17+AB18+AB19+AB20)</f>
        <v>0.88874999999999993</v>
      </c>
      <c r="AC16" s="679"/>
      <c r="AD16" s="192"/>
      <c r="AE16" s="192"/>
      <c r="AF16" s="192"/>
      <c r="AG16" s="192"/>
      <c r="AH16" s="192"/>
      <c r="AI16" s="186"/>
      <c r="AJ16" s="180"/>
      <c r="AK16" s="180"/>
      <c r="AL16" s="180"/>
      <c r="AM16" s="180"/>
      <c r="AN16" s="180"/>
      <c r="AO16" s="180"/>
      <c r="AP16" s="180"/>
      <c r="AQ16" s="180"/>
      <c r="AR16" s="180"/>
      <c r="AS16" s="180"/>
      <c r="AT16" s="180"/>
      <c r="AU16" s="180"/>
      <c r="AV16" s="180"/>
      <c r="AW16" s="180"/>
      <c r="AX16" s="180"/>
      <c r="AY16" s="180"/>
      <c r="AZ16" s="180"/>
      <c r="BA16" s="180"/>
      <c r="BB16" s="180"/>
      <c r="BC16" s="180"/>
    </row>
    <row r="17" spans="1:55" ht="49.95" customHeight="1" thickBot="1" x14ac:dyDescent="0.4">
      <c r="A17" s="184"/>
      <c r="B17" s="1001" t="s">
        <v>690</v>
      </c>
      <c r="C17" s="1002" t="s">
        <v>1398</v>
      </c>
      <c r="D17" s="214" t="s">
        <v>683</v>
      </c>
      <c r="E17" s="203">
        <v>0.1</v>
      </c>
      <c r="F17" s="204">
        <v>4</v>
      </c>
      <c r="G17" s="199">
        <v>1</v>
      </c>
      <c r="H17" s="199">
        <v>1</v>
      </c>
      <c r="I17" s="205">
        <f>+G17/F17</f>
        <v>0.25</v>
      </c>
      <c r="J17" s="205">
        <f t="shared" ref="J17:J20" si="9">+H17/F17</f>
        <v>0.25</v>
      </c>
      <c r="K17" s="205">
        <f>+(G17/F17)*E17</f>
        <v>2.5000000000000001E-2</v>
      </c>
      <c r="L17" s="205">
        <f t="shared" ref="L17:L20" si="10">+(H17/F17)*E17</f>
        <v>2.5000000000000001E-2</v>
      </c>
      <c r="M17" s="199">
        <v>1</v>
      </c>
      <c r="N17" s="595">
        <v>0</v>
      </c>
      <c r="O17" s="595">
        <v>0.7</v>
      </c>
      <c r="P17" s="595">
        <v>0</v>
      </c>
      <c r="Q17" s="595">
        <v>0</v>
      </c>
      <c r="R17" s="595">
        <v>0</v>
      </c>
      <c r="S17" s="199">
        <f t="shared" ref="S17:S19" si="11">+N17+O17+P17+Q17+R17</f>
        <v>0.7</v>
      </c>
      <c r="T17" s="199">
        <f t="shared" ref="T17:T32" si="12">+S17+M17</f>
        <v>1.7</v>
      </c>
      <c r="U17" s="205">
        <f>+(M17/G17)</f>
        <v>1</v>
      </c>
      <c r="V17" s="205">
        <f t="shared" ref="V17:V20" si="13">+S17/H17</f>
        <v>0.7</v>
      </c>
      <c r="W17" s="205">
        <f>+U17*E17</f>
        <v>0.1</v>
      </c>
      <c r="X17" s="205">
        <f t="shared" ref="X17:X20" si="14">+V17*E17</f>
        <v>6.9999999999999993E-2</v>
      </c>
      <c r="Y17" s="205">
        <f>+M17/F17</f>
        <v>0.25</v>
      </c>
      <c r="Z17" s="205">
        <f t="shared" ref="Z17:Z18" si="15">+T17/F17</f>
        <v>0.42499999999999999</v>
      </c>
      <c r="AA17" s="205">
        <f>+Y17*E17</f>
        <v>2.5000000000000001E-2</v>
      </c>
      <c r="AB17" s="205">
        <f>+Z17*E17</f>
        <v>4.2500000000000003E-2</v>
      </c>
      <c r="AC17" s="636" t="s">
        <v>1850</v>
      </c>
      <c r="AD17" s="1101" t="s">
        <v>1893</v>
      </c>
      <c r="AE17" s="1101" t="s">
        <v>2275</v>
      </c>
      <c r="AF17" s="1100" t="s">
        <v>2296</v>
      </c>
      <c r="AG17" s="1100" t="s">
        <v>2412</v>
      </c>
      <c r="AH17" s="1100" t="s">
        <v>2447</v>
      </c>
      <c r="AI17" s="1100" t="s">
        <v>2564</v>
      </c>
      <c r="AJ17" s="180"/>
      <c r="AK17" s="180"/>
      <c r="AL17" s="180"/>
      <c r="AM17" s="180"/>
      <c r="AN17" s="180"/>
      <c r="AO17" s="180"/>
      <c r="AP17" s="180"/>
      <c r="AQ17" s="180"/>
      <c r="AR17" s="180"/>
      <c r="AS17" s="180"/>
      <c r="AT17" s="180"/>
      <c r="AU17" s="180"/>
      <c r="AV17" s="180"/>
      <c r="AW17" s="180"/>
      <c r="AX17" s="180"/>
      <c r="AY17" s="180"/>
      <c r="AZ17" s="180"/>
      <c r="BA17" s="180"/>
      <c r="BB17" s="180"/>
      <c r="BC17" s="180"/>
    </row>
    <row r="18" spans="1:55" ht="70.95" customHeight="1" thickBot="1" x14ac:dyDescent="0.4">
      <c r="A18" s="217"/>
      <c r="B18" s="1001" t="s">
        <v>691</v>
      </c>
      <c r="C18" s="1002" t="s">
        <v>1399</v>
      </c>
      <c r="D18" s="214" t="s">
        <v>683</v>
      </c>
      <c r="E18" s="203">
        <v>0.1</v>
      </c>
      <c r="F18" s="204">
        <v>4</v>
      </c>
      <c r="G18" s="199">
        <v>1</v>
      </c>
      <c r="H18" s="199">
        <v>1</v>
      </c>
      <c r="I18" s="205">
        <f>+G18/F18</f>
        <v>0.25</v>
      </c>
      <c r="J18" s="205">
        <f t="shared" si="9"/>
        <v>0.25</v>
      </c>
      <c r="K18" s="205">
        <f>+(G18/F18)*E18</f>
        <v>2.5000000000000001E-2</v>
      </c>
      <c r="L18" s="205">
        <f t="shared" si="10"/>
        <v>2.5000000000000001E-2</v>
      </c>
      <c r="M18" s="199">
        <v>1</v>
      </c>
      <c r="N18" s="595">
        <v>0.1</v>
      </c>
      <c r="O18" s="595">
        <v>0.6</v>
      </c>
      <c r="P18" s="595">
        <v>0</v>
      </c>
      <c r="Q18" s="595">
        <v>0.15</v>
      </c>
      <c r="R18" s="595">
        <v>0</v>
      </c>
      <c r="S18" s="199">
        <f t="shared" si="11"/>
        <v>0.85</v>
      </c>
      <c r="T18" s="199">
        <f t="shared" si="12"/>
        <v>1.85</v>
      </c>
      <c r="U18" s="223">
        <f>+(M18/G18)</f>
        <v>1</v>
      </c>
      <c r="V18" s="223">
        <f t="shared" si="13"/>
        <v>0.85</v>
      </c>
      <c r="W18" s="223">
        <f>+U18*E18</f>
        <v>0.1</v>
      </c>
      <c r="X18" s="223">
        <f t="shared" si="14"/>
        <v>8.5000000000000006E-2</v>
      </c>
      <c r="Y18" s="223">
        <f>+M18/F18</f>
        <v>0.25</v>
      </c>
      <c r="Z18" s="223">
        <f t="shared" si="15"/>
        <v>0.46250000000000002</v>
      </c>
      <c r="AA18" s="223">
        <f>+Y18*E18</f>
        <v>2.5000000000000001E-2</v>
      </c>
      <c r="AB18" s="205">
        <f>+Z18*E18</f>
        <v>4.6250000000000006E-2</v>
      </c>
      <c r="AC18" s="636" t="s">
        <v>1850</v>
      </c>
      <c r="AD18" s="1101" t="s">
        <v>1893</v>
      </c>
      <c r="AE18" s="1101" t="s">
        <v>2275</v>
      </c>
      <c r="AF18" s="1100" t="s">
        <v>2296</v>
      </c>
      <c r="AG18" s="1100" t="s">
        <v>2412</v>
      </c>
      <c r="AH18" s="1100" t="s">
        <v>2447</v>
      </c>
      <c r="AI18" s="1100" t="s">
        <v>2564</v>
      </c>
      <c r="AJ18" s="180"/>
      <c r="AK18" s="180"/>
      <c r="AL18" s="180"/>
      <c r="AM18" s="180"/>
      <c r="AN18" s="180"/>
      <c r="AO18" s="180"/>
      <c r="AP18" s="180"/>
      <c r="AQ18" s="180"/>
      <c r="AR18" s="180"/>
      <c r="AS18" s="180"/>
      <c r="AT18" s="180"/>
      <c r="AU18" s="180"/>
      <c r="AV18" s="180"/>
      <c r="AW18" s="180"/>
      <c r="AX18" s="180"/>
      <c r="AY18" s="180"/>
      <c r="AZ18" s="180"/>
      <c r="BA18" s="180"/>
      <c r="BB18" s="180"/>
      <c r="BC18" s="180"/>
    </row>
    <row r="19" spans="1:55" ht="70.2" customHeight="1" thickBot="1" x14ac:dyDescent="0.4">
      <c r="A19" s="184"/>
      <c r="B19" s="1012" t="s">
        <v>692</v>
      </c>
      <c r="C19" s="1254" t="s">
        <v>1400</v>
      </c>
      <c r="D19" s="214" t="s">
        <v>683</v>
      </c>
      <c r="E19" s="203">
        <v>0.6</v>
      </c>
      <c r="F19" s="204">
        <v>400</v>
      </c>
      <c r="G19" s="199">
        <v>100</v>
      </c>
      <c r="H19" s="638">
        <v>100</v>
      </c>
      <c r="I19" s="205">
        <f>+G19/F19</f>
        <v>0.25</v>
      </c>
      <c r="J19" s="205">
        <f t="shared" si="9"/>
        <v>0.25</v>
      </c>
      <c r="K19" s="205">
        <f>+(G19/F19)*E19</f>
        <v>0.15</v>
      </c>
      <c r="L19" s="205">
        <f t="shared" si="10"/>
        <v>0.15</v>
      </c>
      <c r="M19" s="199">
        <v>630</v>
      </c>
      <c r="N19" s="595">
        <v>0</v>
      </c>
      <c r="O19" s="595">
        <v>58</v>
      </c>
      <c r="P19" s="595">
        <v>16</v>
      </c>
      <c r="Q19" s="595">
        <v>0</v>
      </c>
      <c r="R19" s="595">
        <v>0</v>
      </c>
      <c r="S19" s="199">
        <f t="shared" si="11"/>
        <v>74</v>
      </c>
      <c r="T19" s="199">
        <f t="shared" si="12"/>
        <v>704</v>
      </c>
      <c r="U19" s="223">
        <v>1</v>
      </c>
      <c r="V19" s="223">
        <f t="shared" si="13"/>
        <v>0.74</v>
      </c>
      <c r="W19" s="223">
        <f>+U19*E19</f>
        <v>0.6</v>
      </c>
      <c r="X19" s="223">
        <f t="shared" si="14"/>
        <v>0.44400000000000001</v>
      </c>
      <c r="Y19" s="223">
        <v>1</v>
      </c>
      <c r="Z19" s="223">
        <v>1</v>
      </c>
      <c r="AA19" s="223">
        <f>+Y19*E19</f>
        <v>0.6</v>
      </c>
      <c r="AB19" s="205">
        <f>+Z19*E19</f>
        <v>0.6</v>
      </c>
      <c r="AC19" s="678" t="s">
        <v>1865</v>
      </c>
      <c r="AD19" s="719" t="s">
        <v>1885</v>
      </c>
      <c r="AE19" s="1101" t="s">
        <v>2275</v>
      </c>
      <c r="AF19" s="1100" t="s">
        <v>1591</v>
      </c>
      <c r="AG19" s="1100" t="s">
        <v>2412</v>
      </c>
      <c r="AH19" s="1100" t="s">
        <v>2447</v>
      </c>
      <c r="AI19" s="1100" t="s">
        <v>2564</v>
      </c>
      <c r="AJ19" s="180"/>
      <c r="AK19" s="180"/>
      <c r="AL19" s="180"/>
      <c r="AM19" s="180"/>
      <c r="AN19" s="180"/>
      <c r="AO19" s="180"/>
      <c r="AP19" s="180"/>
      <c r="AQ19" s="180"/>
      <c r="AR19" s="180"/>
      <c r="AS19" s="180"/>
      <c r="AT19" s="180"/>
      <c r="AU19" s="180"/>
      <c r="AV19" s="180"/>
      <c r="AW19" s="180"/>
      <c r="AX19" s="180"/>
      <c r="AY19" s="180"/>
      <c r="AZ19" s="180"/>
      <c r="BA19" s="180"/>
      <c r="BB19" s="180"/>
      <c r="BC19" s="180"/>
    </row>
    <row r="20" spans="1:55" ht="124.2" customHeight="1" thickBot="1" x14ac:dyDescent="0.4">
      <c r="A20" s="184"/>
      <c r="B20" s="1032" t="s">
        <v>693</v>
      </c>
      <c r="C20" s="1135" t="s">
        <v>1401</v>
      </c>
      <c r="D20" s="214" t="s">
        <v>683</v>
      </c>
      <c r="E20" s="203">
        <v>0.2</v>
      </c>
      <c r="F20" s="204">
        <v>4</v>
      </c>
      <c r="G20" s="199">
        <v>1</v>
      </c>
      <c r="H20" s="199">
        <v>0.5</v>
      </c>
      <c r="I20" s="205">
        <f>+G20/F20</f>
        <v>0.25</v>
      </c>
      <c r="J20" s="205">
        <f t="shared" si="9"/>
        <v>0.125</v>
      </c>
      <c r="K20" s="205">
        <f>+(G20/F20)*E20</f>
        <v>0.05</v>
      </c>
      <c r="L20" s="205">
        <f t="shared" si="10"/>
        <v>2.5000000000000001E-2</v>
      </c>
      <c r="M20" s="199">
        <v>1</v>
      </c>
      <c r="N20" s="595">
        <v>0</v>
      </c>
      <c r="O20" s="595">
        <v>0.5</v>
      </c>
      <c r="P20" s="595">
        <v>0</v>
      </c>
      <c r="Q20" s="595">
        <v>0</v>
      </c>
      <c r="R20" s="595">
        <v>0</v>
      </c>
      <c r="S20" s="199">
        <f>+N20+O20+P20+Q20+R20</f>
        <v>0.5</v>
      </c>
      <c r="T20" s="199">
        <f t="shared" si="12"/>
        <v>1.5</v>
      </c>
      <c r="U20" s="223">
        <f>+(M20/G20)</f>
        <v>1</v>
      </c>
      <c r="V20" s="223">
        <f t="shared" si="13"/>
        <v>1</v>
      </c>
      <c r="W20" s="223">
        <f>+U20*E20</f>
        <v>0.2</v>
      </c>
      <c r="X20" s="223">
        <f t="shared" si="14"/>
        <v>0.2</v>
      </c>
      <c r="Y20" s="223">
        <f>+M20/F20</f>
        <v>0.25</v>
      </c>
      <c r="Z20" s="223">
        <v>1</v>
      </c>
      <c r="AA20" s="223">
        <f>+Y20*E20</f>
        <v>0.05</v>
      </c>
      <c r="AB20" s="205">
        <f>+Z20*E20</f>
        <v>0.2</v>
      </c>
      <c r="AC20" s="636" t="s">
        <v>1850</v>
      </c>
      <c r="AD20" s="719" t="s">
        <v>1885</v>
      </c>
      <c r="AE20" s="1101" t="s">
        <v>2275</v>
      </c>
      <c r="AF20" s="1100" t="s">
        <v>1591</v>
      </c>
      <c r="AG20" s="1100" t="s">
        <v>2412</v>
      </c>
      <c r="AH20" s="1100" t="s">
        <v>2447</v>
      </c>
      <c r="AI20" s="719" t="s">
        <v>2581</v>
      </c>
      <c r="AJ20" s="180"/>
      <c r="AK20" s="180"/>
      <c r="AL20" s="180"/>
      <c r="AM20" s="180"/>
      <c r="AN20" s="180"/>
      <c r="AO20" s="180"/>
      <c r="AP20" s="180"/>
      <c r="AQ20" s="180"/>
      <c r="AR20" s="180"/>
      <c r="AS20" s="180"/>
      <c r="AT20" s="180"/>
      <c r="AU20" s="180"/>
      <c r="AV20" s="180"/>
      <c r="AW20" s="180"/>
      <c r="AX20" s="180"/>
      <c r="AY20" s="180"/>
      <c r="AZ20" s="180"/>
      <c r="BA20" s="180"/>
      <c r="BB20" s="180"/>
      <c r="BC20" s="180"/>
    </row>
    <row r="21" spans="1:55" ht="42.75" customHeight="1" thickBot="1" x14ac:dyDescent="0.4">
      <c r="A21" s="184"/>
      <c r="B21" s="1319" t="s">
        <v>1703</v>
      </c>
      <c r="C21" s="1320"/>
      <c r="D21" s="214"/>
      <c r="E21" s="195">
        <v>0.1</v>
      </c>
      <c r="F21" s="204"/>
      <c r="G21" s="199"/>
      <c r="H21" s="199"/>
      <c r="I21" s="198">
        <f>+AVERAGE(I22:I23)</f>
        <v>0.13416666666666666</v>
      </c>
      <c r="J21" s="198">
        <f>+AVERAGE(J22:J23)</f>
        <v>0.15833333333333333</v>
      </c>
      <c r="K21" s="198">
        <f>+K22+K23</f>
        <v>0.15733333333333333</v>
      </c>
      <c r="L21" s="198">
        <f>+L22+L23</f>
        <v>0.17666666666666667</v>
      </c>
      <c r="M21" s="199"/>
      <c r="N21" s="199"/>
      <c r="O21" s="199"/>
      <c r="P21" s="199"/>
      <c r="Q21" s="199"/>
      <c r="R21" s="935"/>
      <c r="S21" s="199"/>
      <c r="T21" s="199"/>
      <c r="U21" s="221">
        <f>+AVERAGE(U22:U23)</f>
        <v>1</v>
      </c>
      <c r="V21" s="221">
        <f>+AVERAGE(V22:V23)</f>
        <v>1</v>
      </c>
      <c r="W21" s="221">
        <f>+(W22+W23)*E21</f>
        <v>0.1</v>
      </c>
      <c r="X21" s="221">
        <f>+(X22+X23)*E21</f>
        <v>0.1</v>
      </c>
      <c r="Y21" s="198">
        <f>+AVERAGE(Y22:Y23)</f>
        <v>0.22916666666666669</v>
      </c>
      <c r="Z21" s="198">
        <f>+AVERAGE(Z22:Z23)</f>
        <v>0.55159033078880404</v>
      </c>
      <c r="AA21" s="198">
        <f>+(AA22+AA23)*E21</f>
        <v>2.7000000000000003E-2</v>
      </c>
      <c r="AB21" s="198">
        <f>+(AB22+AB23)</f>
        <v>0.5779389312977099</v>
      </c>
      <c r="AC21" s="679"/>
      <c r="AD21" s="192"/>
      <c r="AE21" s="192"/>
      <c r="AF21" s="192"/>
      <c r="AG21" s="192"/>
      <c r="AH21" s="192"/>
      <c r="AI21" s="186"/>
      <c r="AJ21" s="180"/>
      <c r="AK21" s="180"/>
      <c r="AL21" s="180"/>
      <c r="AM21" s="180"/>
      <c r="AN21" s="180"/>
      <c r="AO21" s="180"/>
      <c r="AP21" s="180"/>
      <c r="AQ21" s="180"/>
      <c r="AR21" s="180"/>
      <c r="AS21" s="180"/>
      <c r="AT21" s="180"/>
      <c r="AU21" s="180"/>
      <c r="AV21" s="180"/>
      <c r="AW21" s="180"/>
      <c r="AX21" s="180"/>
      <c r="AY21" s="180"/>
      <c r="AZ21" s="180"/>
      <c r="BA21" s="180"/>
      <c r="BB21" s="180"/>
      <c r="BC21" s="180"/>
    </row>
    <row r="22" spans="1:55" ht="60" customHeight="1" thickBot="1" x14ac:dyDescent="0.4">
      <c r="A22" s="184"/>
      <c r="B22" s="1012" t="s">
        <v>694</v>
      </c>
      <c r="C22" s="1254" t="s">
        <v>1402</v>
      </c>
      <c r="D22" s="218" t="s">
        <v>696</v>
      </c>
      <c r="E22" s="219">
        <v>0.6</v>
      </c>
      <c r="F22" s="204">
        <v>60</v>
      </c>
      <c r="G22" s="199">
        <v>15</v>
      </c>
      <c r="H22" s="199">
        <v>15</v>
      </c>
      <c r="I22" s="205">
        <f>+G22/F22</f>
        <v>0.25</v>
      </c>
      <c r="J22" s="205">
        <f t="shared" ref="J22:J23" si="16">+H22/F22</f>
        <v>0.25</v>
      </c>
      <c r="K22" s="205">
        <f>+(G22/F22)*E22</f>
        <v>0.15</v>
      </c>
      <c r="L22" s="205">
        <f t="shared" ref="L22:L23" si="17">+(H22/F22)*E22</f>
        <v>0.15</v>
      </c>
      <c r="M22" s="199">
        <v>26</v>
      </c>
      <c r="N22" s="595">
        <v>4</v>
      </c>
      <c r="O22" s="595">
        <v>3</v>
      </c>
      <c r="P22" s="595">
        <v>4</v>
      </c>
      <c r="Q22" s="595">
        <v>2</v>
      </c>
      <c r="R22" s="595">
        <v>2</v>
      </c>
      <c r="S22" s="199">
        <f t="shared" ref="S22:S31" si="18">+N22+O22+P22+Q22+R22</f>
        <v>15</v>
      </c>
      <c r="T22" s="199">
        <f t="shared" si="12"/>
        <v>41</v>
      </c>
      <c r="U22" s="223">
        <v>1</v>
      </c>
      <c r="V22" s="223">
        <f t="shared" ref="V22:V23" si="19">+S22/H22</f>
        <v>1</v>
      </c>
      <c r="W22" s="223">
        <f>+U22*E22</f>
        <v>0.6</v>
      </c>
      <c r="X22" s="223">
        <f t="shared" ref="X22:X23" si="20">+V22*E22</f>
        <v>0.6</v>
      </c>
      <c r="Y22" s="223">
        <f>+M22/F22</f>
        <v>0.43333333333333335</v>
      </c>
      <c r="Z22" s="223">
        <f t="shared" ref="Z22" si="21">+T22/F22</f>
        <v>0.68333333333333335</v>
      </c>
      <c r="AA22" s="223">
        <f>+Y22*E22</f>
        <v>0.26</v>
      </c>
      <c r="AB22" s="205">
        <f>+Z22*E22</f>
        <v>0.41</v>
      </c>
      <c r="AC22" s="678" t="s">
        <v>1865</v>
      </c>
      <c r="AD22" s="1101" t="s">
        <v>1893</v>
      </c>
      <c r="AE22" s="1100" t="s">
        <v>2275</v>
      </c>
      <c r="AF22" s="1100" t="s">
        <v>2296</v>
      </c>
      <c r="AG22" s="1100" t="s">
        <v>2412</v>
      </c>
      <c r="AH22" s="1100" t="s">
        <v>2447</v>
      </c>
      <c r="AI22" s="1100" t="s">
        <v>2564</v>
      </c>
      <c r="AJ22" s="180"/>
      <c r="AK22" s="180"/>
      <c r="AL22" s="180"/>
      <c r="AM22" s="180"/>
      <c r="AN22" s="180"/>
      <c r="AO22" s="180"/>
      <c r="AP22" s="180"/>
      <c r="AQ22" s="180"/>
      <c r="AR22" s="180"/>
      <c r="AS22" s="180"/>
      <c r="AT22" s="180"/>
      <c r="AU22" s="180"/>
      <c r="AV22" s="180"/>
      <c r="AW22" s="180"/>
      <c r="AX22" s="180"/>
      <c r="AY22" s="180"/>
      <c r="AZ22" s="180"/>
      <c r="BA22" s="180"/>
      <c r="BB22" s="180"/>
      <c r="BC22" s="180"/>
    </row>
    <row r="23" spans="1:55" ht="73.2" customHeight="1" thickBot="1" x14ac:dyDescent="0.4">
      <c r="A23" s="184"/>
      <c r="B23" s="1012" t="s">
        <v>695</v>
      </c>
      <c r="C23" s="1254" t="s">
        <v>1403</v>
      </c>
      <c r="D23" s="218" t="s">
        <v>696</v>
      </c>
      <c r="E23" s="219">
        <v>0.4</v>
      </c>
      <c r="F23" s="204">
        <v>1200</v>
      </c>
      <c r="G23" s="199">
        <v>22</v>
      </c>
      <c r="H23" s="199">
        <v>80</v>
      </c>
      <c r="I23" s="205">
        <f>+G23/F23</f>
        <v>1.8333333333333333E-2</v>
      </c>
      <c r="J23" s="205">
        <f t="shared" si="16"/>
        <v>6.6666666666666666E-2</v>
      </c>
      <c r="K23" s="205">
        <f>+(G23/F23)*E23</f>
        <v>7.3333333333333341E-3</v>
      </c>
      <c r="L23" s="205">
        <f t="shared" si="17"/>
        <v>2.6666666666666668E-2</v>
      </c>
      <c r="M23" s="199">
        <v>30</v>
      </c>
      <c r="N23" s="595">
        <v>25</v>
      </c>
      <c r="O23" s="595">
        <v>15</v>
      </c>
      <c r="P23" s="595">
        <v>0</v>
      </c>
      <c r="Q23" s="595">
        <v>31</v>
      </c>
      <c r="R23" s="595">
        <v>9</v>
      </c>
      <c r="S23" s="199">
        <f>+N23+O23+P23+Q23+R23</f>
        <v>80</v>
      </c>
      <c r="T23" s="199">
        <f t="shared" si="12"/>
        <v>110</v>
      </c>
      <c r="U23" s="223">
        <v>1</v>
      </c>
      <c r="V23" s="223">
        <f t="shared" si="19"/>
        <v>1</v>
      </c>
      <c r="W23" s="223">
        <f>+U23*E23</f>
        <v>0.4</v>
      </c>
      <c r="X23" s="223">
        <f t="shared" si="20"/>
        <v>0.4</v>
      </c>
      <c r="Y23" s="223">
        <f>+M23/F23</f>
        <v>2.5000000000000001E-2</v>
      </c>
      <c r="Z23" s="223">
        <f>+T23/262</f>
        <v>0.41984732824427479</v>
      </c>
      <c r="AA23" s="223">
        <f>+Y23*E23</f>
        <v>1.0000000000000002E-2</v>
      </c>
      <c r="AB23" s="205">
        <f>+Z23*E23</f>
        <v>0.16793893129770993</v>
      </c>
      <c r="AC23" s="636" t="s">
        <v>1850</v>
      </c>
      <c r="AD23" s="1101" t="s">
        <v>1955</v>
      </c>
      <c r="AE23" s="1100" t="s">
        <v>2275</v>
      </c>
      <c r="AF23" s="1100" t="s">
        <v>2296</v>
      </c>
      <c r="AG23" s="1100" t="s">
        <v>2412</v>
      </c>
      <c r="AH23" s="1100" t="s">
        <v>2447</v>
      </c>
      <c r="AI23" s="1100" t="s">
        <v>2564</v>
      </c>
      <c r="AJ23" s="180"/>
      <c r="AK23" s="180"/>
      <c r="AL23" s="180"/>
      <c r="AM23" s="180"/>
      <c r="AN23" s="180"/>
      <c r="AO23" s="180"/>
      <c r="AP23" s="180"/>
      <c r="AQ23" s="180"/>
      <c r="AR23" s="180"/>
      <c r="AS23" s="180"/>
      <c r="AT23" s="180"/>
      <c r="AU23" s="180"/>
      <c r="AV23" s="180"/>
      <c r="AW23" s="180"/>
      <c r="AX23" s="180"/>
      <c r="AY23" s="180"/>
      <c r="AZ23" s="180"/>
      <c r="BA23" s="180"/>
      <c r="BB23" s="180"/>
      <c r="BC23" s="180"/>
    </row>
    <row r="24" spans="1:55" ht="102.6" customHeight="1" thickBot="1" x14ac:dyDescent="0.4">
      <c r="A24" s="184"/>
      <c r="B24" s="1319" t="s">
        <v>1704</v>
      </c>
      <c r="C24" s="1320"/>
      <c r="D24" s="214"/>
      <c r="E24" s="195">
        <v>0.3</v>
      </c>
      <c r="F24" s="216"/>
      <c r="G24" s="192"/>
      <c r="H24" s="192"/>
      <c r="I24" s="198">
        <f>+AVERAGE(I25:I27)</f>
        <v>0.16666666666666666</v>
      </c>
      <c r="J24" s="198">
        <f>+AVERAGE(J25:J27)</f>
        <v>0.41111111111111115</v>
      </c>
      <c r="K24" s="198">
        <f>+K25+K26+K27</f>
        <v>4.9999999999999996E-2</v>
      </c>
      <c r="L24" s="198">
        <f>+L25+L26+L27</f>
        <v>0.43999999999999995</v>
      </c>
      <c r="M24" s="197"/>
      <c r="N24" s="197"/>
      <c r="O24" s="197"/>
      <c r="P24" s="197"/>
      <c r="Q24" s="197"/>
      <c r="R24" s="1210"/>
      <c r="S24" s="199"/>
      <c r="T24" s="199"/>
      <c r="U24" s="221">
        <f>+AVERAGE(U25:U27)</f>
        <v>1</v>
      </c>
      <c r="V24" s="221">
        <f>+AVERAGE(V25:V27)</f>
        <v>0.73333333333333339</v>
      </c>
      <c r="W24" s="221">
        <f>+(W25+W26+W27)*E24</f>
        <v>0.09</v>
      </c>
      <c r="X24" s="221">
        <f>+(X25+X26+X27)*E24</f>
        <v>0.156</v>
      </c>
      <c r="Y24" s="198">
        <f>+AVERAGE(Y25:Y29)*0.33</f>
        <v>0.10725000000000001</v>
      </c>
      <c r="Z24" s="198">
        <f>+(Z25*0.33)+(Z26*0.33)+(Z27*0.33)</f>
        <v>0.56099999999999994</v>
      </c>
      <c r="AA24" s="198">
        <f>+(AA25+AA26+AA27)*E24</f>
        <v>4.4999999999999998E-2</v>
      </c>
      <c r="AB24" s="198">
        <f>+(AB25+AB26+AB27)</f>
        <v>0.36</v>
      </c>
      <c r="AC24" s="679"/>
      <c r="AD24" s="192"/>
      <c r="AE24" s="192"/>
      <c r="AF24" s="192"/>
      <c r="AG24" s="192"/>
      <c r="AH24" s="192"/>
      <c r="AI24" s="186"/>
      <c r="AJ24" s="180"/>
      <c r="AK24" s="180"/>
      <c r="AL24" s="180"/>
      <c r="AM24" s="180"/>
      <c r="AN24" s="180"/>
      <c r="AO24" s="180"/>
      <c r="AP24" s="180"/>
      <c r="AQ24" s="180"/>
      <c r="AR24" s="180"/>
      <c r="AS24" s="180"/>
      <c r="AT24" s="180"/>
      <c r="AU24" s="180"/>
      <c r="AV24" s="180"/>
      <c r="AW24" s="180"/>
      <c r="AX24" s="180"/>
      <c r="AY24" s="180"/>
      <c r="AZ24" s="180"/>
      <c r="BA24" s="180"/>
      <c r="BB24" s="180"/>
      <c r="BC24" s="180"/>
    </row>
    <row r="25" spans="1:55" ht="99" customHeight="1" thickBot="1" x14ac:dyDescent="0.4">
      <c r="A25" s="184"/>
      <c r="B25" s="1001" t="s">
        <v>697</v>
      </c>
      <c r="C25" s="1002" t="s">
        <v>1404</v>
      </c>
      <c r="D25" s="218" t="s">
        <v>698</v>
      </c>
      <c r="E25" s="219">
        <v>0.3</v>
      </c>
      <c r="F25" s="204">
        <v>60</v>
      </c>
      <c r="G25" s="199">
        <v>10</v>
      </c>
      <c r="H25" s="199">
        <v>20</v>
      </c>
      <c r="I25" s="205">
        <f>+G25/F25</f>
        <v>0.16666666666666666</v>
      </c>
      <c r="J25" s="205">
        <f t="shared" ref="J25:J27" si="22">+H25/F25</f>
        <v>0.33333333333333331</v>
      </c>
      <c r="K25" s="205">
        <f>+(G25/F25)*E25</f>
        <v>4.9999999999999996E-2</v>
      </c>
      <c r="L25" s="205">
        <f t="shared" ref="L25:L27" si="23">+(H25/F25)*E25</f>
        <v>9.9999999999999992E-2</v>
      </c>
      <c r="M25" s="199">
        <v>30</v>
      </c>
      <c r="N25" s="595">
        <v>14</v>
      </c>
      <c r="O25" s="595">
        <v>2</v>
      </c>
      <c r="P25" s="595">
        <v>16</v>
      </c>
      <c r="Q25" s="595">
        <v>0</v>
      </c>
      <c r="R25" s="595">
        <v>0</v>
      </c>
      <c r="S25" s="199">
        <f t="shared" si="18"/>
        <v>32</v>
      </c>
      <c r="T25" s="199">
        <f t="shared" si="12"/>
        <v>62</v>
      </c>
      <c r="U25" s="223">
        <v>1</v>
      </c>
      <c r="V25" s="223">
        <v>1</v>
      </c>
      <c r="W25" s="223">
        <f>+U25*E25</f>
        <v>0.3</v>
      </c>
      <c r="X25" s="223">
        <f t="shared" ref="X25:X27" si="24">+V25*E25</f>
        <v>0.3</v>
      </c>
      <c r="Y25" s="223">
        <f>+M25/F25</f>
        <v>0.5</v>
      </c>
      <c r="Z25" s="223">
        <v>1</v>
      </c>
      <c r="AA25" s="223">
        <f>+Y25*E25</f>
        <v>0.15</v>
      </c>
      <c r="AB25" s="223">
        <f>+Z25*E25</f>
        <v>0.3</v>
      </c>
      <c r="AC25" s="636" t="s">
        <v>1850</v>
      </c>
      <c r="AD25" s="192"/>
      <c r="AE25" s="1101" t="s">
        <v>2275</v>
      </c>
      <c r="AF25" s="1100" t="s">
        <v>2296</v>
      </c>
      <c r="AG25" s="192"/>
      <c r="AH25" s="719" t="s">
        <v>2482</v>
      </c>
      <c r="AI25" s="1100" t="s">
        <v>2564</v>
      </c>
      <c r="AJ25" s="180"/>
      <c r="AK25" s="180"/>
      <c r="AL25" s="180"/>
      <c r="AM25" s="180"/>
      <c r="AN25" s="180"/>
      <c r="AO25" s="180"/>
      <c r="AP25" s="180"/>
      <c r="AQ25" s="180"/>
      <c r="AR25" s="180"/>
      <c r="AS25" s="180"/>
      <c r="AT25" s="180"/>
      <c r="AU25" s="180"/>
      <c r="AV25" s="180"/>
      <c r="AW25" s="180"/>
      <c r="AX25" s="180"/>
      <c r="AY25" s="180"/>
      <c r="AZ25" s="180"/>
      <c r="BA25" s="180"/>
      <c r="BB25" s="180"/>
      <c r="BC25" s="180"/>
    </row>
    <row r="26" spans="1:55" ht="116.4" customHeight="1" thickBot="1" x14ac:dyDescent="0.4">
      <c r="A26" s="184"/>
      <c r="B26" s="1001" t="s">
        <v>699</v>
      </c>
      <c r="C26" s="1002" t="s">
        <v>1405</v>
      </c>
      <c r="D26" s="214" t="s">
        <v>700</v>
      </c>
      <c r="E26" s="203">
        <v>0.6</v>
      </c>
      <c r="F26" s="204">
        <v>2</v>
      </c>
      <c r="G26" s="199">
        <v>0</v>
      </c>
      <c r="H26" s="199">
        <v>1</v>
      </c>
      <c r="I26" s="205"/>
      <c r="J26" s="205">
        <f t="shared" si="22"/>
        <v>0.5</v>
      </c>
      <c r="K26" s="205"/>
      <c r="L26" s="205">
        <f t="shared" si="23"/>
        <v>0.3</v>
      </c>
      <c r="M26" s="199"/>
      <c r="N26" s="595">
        <v>0</v>
      </c>
      <c r="O26" s="595">
        <v>0</v>
      </c>
      <c r="P26" s="595">
        <v>0</v>
      </c>
      <c r="Q26" s="595">
        <v>0</v>
      </c>
      <c r="R26" s="595">
        <v>0.2</v>
      </c>
      <c r="S26" s="199">
        <f t="shared" si="18"/>
        <v>0.2</v>
      </c>
      <c r="T26" s="199">
        <f t="shared" si="12"/>
        <v>0.2</v>
      </c>
      <c r="U26" s="223"/>
      <c r="V26" s="223">
        <f t="shared" ref="V26" si="25">+S26/H26</f>
        <v>0.2</v>
      </c>
      <c r="W26" s="223"/>
      <c r="X26" s="223">
        <f t="shared" si="24"/>
        <v>0.12</v>
      </c>
      <c r="Y26" s="223"/>
      <c r="Z26" s="223">
        <f t="shared" ref="Z26:Z27" si="26">+T26/F26</f>
        <v>0.1</v>
      </c>
      <c r="AA26" s="223"/>
      <c r="AB26" s="223"/>
      <c r="AC26" s="636" t="s">
        <v>1850</v>
      </c>
      <c r="AD26" s="719" t="s">
        <v>1919</v>
      </c>
      <c r="AE26" s="1101" t="s">
        <v>2275</v>
      </c>
      <c r="AF26" s="1100" t="s">
        <v>2296</v>
      </c>
      <c r="AG26" s="1100" t="s">
        <v>2412</v>
      </c>
      <c r="AH26" s="1100" t="s">
        <v>2447</v>
      </c>
      <c r="AI26" s="1100" t="s">
        <v>2564</v>
      </c>
      <c r="AJ26" s="180"/>
      <c r="AK26" s="180"/>
      <c r="AL26" s="180"/>
      <c r="AM26" s="180"/>
      <c r="AN26" s="180"/>
      <c r="AO26" s="180"/>
      <c r="AP26" s="180"/>
      <c r="AQ26" s="180"/>
      <c r="AR26" s="180"/>
      <c r="AS26" s="180"/>
      <c r="AT26" s="180"/>
      <c r="AU26" s="180"/>
      <c r="AV26" s="180"/>
      <c r="AW26" s="180"/>
      <c r="AX26" s="180"/>
      <c r="AY26" s="180"/>
      <c r="AZ26" s="180"/>
      <c r="BA26" s="180"/>
      <c r="BB26" s="180"/>
      <c r="BC26" s="180"/>
    </row>
    <row r="27" spans="1:55" ht="108" customHeight="1" thickBot="1" x14ac:dyDescent="0.4">
      <c r="A27" s="184"/>
      <c r="B27" s="1001" t="s">
        <v>701</v>
      </c>
      <c r="C27" s="1002" t="s">
        <v>1406</v>
      </c>
      <c r="D27" s="214" t="s">
        <v>1548</v>
      </c>
      <c r="E27" s="203">
        <v>0.1</v>
      </c>
      <c r="F27" s="204">
        <v>5</v>
      </c>
      <c r="G27" s="199">
        <v>0</v>
      </c>
      <c r="H27" s="199">
        <v>2</v>
      </c>
      <c r="I27" s="205"/>
      <c r="J27" s="205">
        <f t="shared" si="22"/>
        <v>0.4</v>
      </c>
      <c r="K27" s="205"/>
      <c r="L27" s="205">
        <f t="shared" si="23"/>
        <v>4.0000000000000008E-2</v>
      </c>
      <c r="M27" s="199"/>
      <c r="N27" s="595">
        <v>0</v>
      </c>
      <c r="O27" s="595">
        <v>3</v>
      </c>
      <c r="P27" s="595">
        <v>0</v>
      </c>
      <c r="Q27" s="595">
        <v>0</v>
      </c>
      <c r="R27" s="595">
        <v>0</v>
      </c>
      <c r="S27" s="199">
        <f t="shared" si="18"/>
        <v>3</v>
      </c>
      <c r="T27" s="199">
        <f t="shared" si="12"/>
        <v>3</v>
      </c>
      <c r="U27" s="223"/>
      <c r="V27" s="223">
        <v>1</v>
      </c>
      <c r="W27" s="223"/>
      <c r="X27" s="223">
        <f t="shared" si="24"/>
        <v>0.1</v>
      </c>
      <c r="Y27" s="223"/>
      <c r="Z27" s="223">
        <f t="shared" si="26"/>
        <v>0.6</v>
      </c>
      <c r="AA27" s="223"/>
      <c r="AB27" s="223">
        <f>+Z27*E27</f>
        <v>0.06</v>
      </c>
      <c r="AC27" s="636" t="s">
        <v>1850</v>
      </c>
      <c r="AD27" s="719" t="s">
        <v>1919</v>
      </c>
      <c r="AE27" s="192"/>
      <c r="AF27" s="1100" t="s">
        <v>2296</v>
      </c>
      <c r="AG27" s="1100" t="s">
        <v>2412</v>
      </c>
      <c r="AH27" s="1100" t="s">
        <v>2447</v>
      </c>
      <c r="AI27" s="1100" t="s">
        <v>2564</v>
      </c>
      <c r="AJ27" s="180"/>
      <c r="AK27" s="180"/>
      <c r="AL27" s="180"/>
      <c r="AM27" s="180"/>
      <c r="AN27" s="180"/>
      <c r="AO27" s="180"/>
      <c r="AP27" s="180"/>
      <c r="AQ27" s="180"/>
      <c r="AR27" s="180"/>
      <c r="AS27" s="180"/>
      <c r="AT27" s="180"/>
      <c r="AU27" s="180"/>
      <c r="AV27" s="180"/>
      <c r="AW27" s="180"/>
      <c r="AX27" s="180"/>
      <c r="AY27" s="180"/>
      <c r="AZ27" s="180"/>
      <c r="BA27" s="180"/>
      <c r="BB27" s="180"/>
      <c r="BC27" s="180"/>
    </row>
    <row r="28" spans="1:55" ht="94.95" customHeight="1" thickBot="1" x14ac:dyDescent="0.4">
      <c r="A28" s="184"/>
      <c r="B28" s="1319" t="s">
        <v>1705</v>
      </c>
      <c r="C28" s="1320"/>
      <c r="D28" s="214"/>
      <c r="E28" s="195">
        <v>0.35</v>
      </c>
      <c r="F28" s="216"/>
      <c r="G28" s="192"/>
      <c r="H28" s="192"/>
      <c r="I28" s="198">
        <f>+AVERAGE(I29:I32)</f>
        <v>0.6</v>
      </c>
      <c r="J28" s="198">
        <f>+AVERAGE(J29:J32)</f>
        <v>0.6</v>
      </c>
      <c r="K28" s="198">
        <f>+K29+K30+K31+K32</f>
        <v>0.36</v>
      </c>
      <c r="L28" s="198">
        <f>+L29+L30+L31+L32</f>
        <v>0.49</v>
      </c>
      <c r="M28" s="197"/>
      <c r="N28" s="197"/>
      <c r="O28" s="197"/>
      <c r="P28" s="197"/>
      <c r="Q28" s="197"/>
      <c r="R28" s="1210"/>
      <c r="S28" s="199"/>
      <c r="T28" s="199"/>
      <c r="U28" s="221">
        <f>+AVERAGE(U29:U32)</f>
        <v>1</v>
      </c>
      <c r="V28" s="221">
        <f>+AVERAGE(V29:V32)</f>
        <v>0.75000000000000011</v>
      </c>
      <c r="W28" s="221">
        <f>+(W29+W30+W31+W32)*E28</f>
        <v>0.21</v>
      </c>
      <c r="X28" s="221">
        <f>+(X29+X30+X31+X32)*E28</f>
        <v>0.3115</v>
      </c>
      <c r="Y28" s="198">
        <f>+AVERAGE(Y29:Y32)*0.25</f>
        <v>0.15</v>
      </c>
      <c r="Z28" s="198">
        <f>+AVERAGE(Z29:Z32)</f>
        <v>0.52500000000000002</v>
      </c>
      <c r="AA28" s="198">
        <f>+(AA29+AA30+AA31+AA32)*E28</f>
        <v>0.126</v>
      </c>
      <c r="AB28" s="198">
        <f>+(AB29+AB30+AB31+AB32)</f>
        <v>0.755</v>
      </c>
      <c r="AC28" s="679"/>
      <c r="AD28" s="719" t="s">
        <v>1886</v>
      </c>
      <c r="AE28" s="192"/>
      <c r="AF28" s="192"/>
      <c r="AG28" s="192"/>
      <c r="AH28" s="192"/>
      <c r="AI28" s="186"/>
      <c r="AJ28" s="180"/>
      <c r="AK28" s="180"/>
      <c r="AL28" s="180"/>
      <c r="AM28" s="180"/>
      <c r="AN28" s="180"/>
      <c r="AO28" s="180"/>
      <c r="AP28" s="180"/>
      <c r="AQ28" s="180"/>
      <c r="AR28" s="180"/>
      <c r="AS28" s="180"/>
      <c r="AT28" s="180"/>
      <c r="AU28" s="180"/>
      <c r="AV28" s="180"/>
      <c r="AW28" s="180"/>
      <c r="AX28" s="180"/>
      <c r="AY28" s="180"/>
      <c r="AZ28" s="180"/>
      <c r="BA28" s="180"/>
      <c r="BB28" s="180"/>
      <c r="BC28" s="180"/>
    </row>
    <row r="29" spans="1:55" ht="100.2" customHeight="1" thickBot="1" x14ac:dyDescent="0.4">
      <c r="A29" s="184"/>
      <c r="B29" s="1001" t="s">
        <v>702</v>
      </c>
      <c r="C29" s="1002" t="s">
        <v>1407</v>
      </c>
      <c r="D29" s="214" t="s">
        <v>560</v>
      </c>
      <c r="E29" s="203">
        <v>0.15</v>
      </c>
      <c r="F29" s="204">
        <v>1</v>
      </c>
      <c r="H29" s="199">
        <v>0.5</v>
      </c>
      <c r="I29" s="205"/>
      <c r="J29" s="205">
        <f t="shared" ref="J29:J32" si="27">+H29/F29</f>
        <v>0.5</v>
      </c>
      <c r="K29" s="205"/>
      <c r="L29" s="205">
        <f t="shared" ref="L29:L32" si="28">+(H29/F29)*E29</f>
        <v>7.4999999999999997E-2</v>
      </c>
      <c r="M29" s="199"/>
      <c r="N29" s="595"/>
      <c r="O29" s="595">
        <v>0.1</v>
      </c>
      <c r="P29" s="595">
        <v>0.1</v>
      </c>
      <c r="Q29" s="595">
        <v>0.1</v>
      </c>
      <c r="R29" s="595">
        <v>0.15</v>
      </c>
      <c r="S29" s="199">
        <f>+N29+O29+P29+Q29+R29</f>
        <v>0.45000000000000007</v>
      </c>
      <c r="T29" s="199">
        <f t="shared" si="12"/>
        <v>0.45000000000000007</v>
      </c>
      <c r="U29" s="223"/>
      <c r="V29" s="223">
        <f t="shared" ref="V29:V32" si="29">+S29/H29</f>
        <v>0.90000000000000013</v>
      </c>
      <c r="W29" s="223"/>
      <c r="X29" s="223">
        <f t="shared" ref="X29:X32" si="30">+V29*E29</f>
        <v>0.13500000000000001</v>
      </c>
      <c r="Y29" s="223"/>
      <c r="Z29" s="223">
        <f t="shared" ref="Z29:Z32" si="31">+T29/F29</f>
        <v>0.45000000000000007</v>
      </c>
      <c r="AA29" s="223"/>
      <c r="AB29" s="223">
        <f>+Z29*E29</f>
        <v>6.7500000000000004E-2</v>
      </c>
      <c r="AC29" s="636" t="s">
        <v>1850</v>
      </c>
      <c r="AD29" s="1100" t="s">
        <v>1893</v>
      </c>
      <c r="AE29" s="1100" t="s">
        <v>2275</v>
      </c>
      <c r="AF29" s="1100" t="s">
        <v>2296</v>
      </c>
      <c r="AG29" s="649" t="s">
        <v>2379</v>
      </c>
      <c r="AH29" s="1100" t="s">
        <v>2447</v>
      </c>
      <c r="AI29" s="1100" t="s">
        <v>2564</v>
      </c>
      <c r="AJ29" s="180"/>
      <c r="AK29" s="180"/>
      <c r="AL29" s="180"/>
      <c r="AM29" s="180"/>
      <c r="AN29" s="180"/>
      <c r="AO29" s="180"/>
      <c r="AP29" s="180"/>
      <c r="AQ29" s="180"/>
      <c r="AR29" s="180"/>
      <c r="AS29" s="180"/>
      <c r="AT29" s="180"/>
      <c r="AU29" s="180"/>
      <c r="AV29" s="180"/>
      <c r="AW29" s="180"/>
      <c r="AX29" s="180"/>
      <c r="AY29" s="180"/>
      <c r="AZ29" s="180"/>
      <c r="BA29" s="180"/>
      <c r="BB29" s="180"/>
      <c r="BC29" s="180"/>
    </row>
    <row r="30" spans="1:55" ht="56.4" customHeight="1" thickBot="1" x14ac:dyDescent="0.4">
      <c r="A30" s="184"/>
      <c r="B30" s="1001" t="s">
        <v>703</v>
      </c>
      <c r="C30" s="1002" t="s">
        <v>1408</v>
      </c>
      <c r="D30" s="214" t="s">
        <v>560</v>
      </c>
      <c r="E30" s="203">
        <v>0.15</v>
      </c>
      <c r="F30" s="204">
        <v>1</v>
      </c>
      <c r="G30" s="199">
        <v>0</v>
      </c>
      <c r="H30" s="199">
        <v>0.5</v>
      </c>
      <c r="I30" s="205"/>
      <c r="J30" s="205">
        <f t="shared" si="27"/>
        <v>0.5</v>
      </c>
      <c r="K30" s="205"/>
      <c r="L30" s="205">
        <f t="shared" si="28"/>
        <v>7.4999999999999997E-2</v>
      </c>
      <c r="M30" s="199"/>
      <c r="N30" s="595"/>
      <c r="O30" s="595">
        <v>0.1</v>
      </c>
      <c r="P30" s="595">
        <v>0.1</v>
      </c>
      <c r="Q30" s="595">
        <v>0.1</v>
      </c>
      <c r="R30" s="595">
        <v>0.15</v>
      </c>
      <c r="S30" s="199">
        <f t="shared" si="18"/>
        <v>0.45000000000000007</v>
      </c>
      <c r="T30" s="199">
        <f t="shared" si="12"/>
        <v>0.45000000000000007</v>
      </c>
      <c r="U30" s="223"/>
      <c r="V30" s="223">
        <f t="shared" si="29"/>
        <v>0.90000000000000013</v>
      </c>
      <c r="W30" s="223"/>
      <c r="X30" s="223">
        <f t="shared" si="30"/>
        <v>0.13500000000000001</v>
      </c>
      <c r="Y30" s="223"/>
      <c r="Z30" s="223">
        <f t="shared" si="31"/>
        <v>0.45000000000000007</v>
      </c>
      <c r="AA30" s="223"/>
      <c r="AB30" s="223">
        <f>+Z30*E30</f>
        <v>6.7500000000000004E-2</v>
      </c>
      <c r="AC30" s="636" t="s">
        <v>1850</v>
      </c>
      <c r="AD30" s="1101" t="s">
        <v>1893</v>
      </c>
      <c r="AE30" s="1100" t="s">
        <v>2275</v>
      </c>
      <c r="AF30" s="1100" t="s">
        <v>2296</v>
      </c>
      <c r="AG30" s="649" t="s">
        <v>2379</v>
      </c>
      <c r="AH30" s="1100" t="s">
        <v>2447</v>
      </c>
      <c r="AI30" s="1100" t="s">
        <v>2564</v>
      </c>
      <c r="AJ30" s="180"/>
      <c r="AK30" s="180"/>
      <c r="AL30" s="180"/>
      <c r="AM30" s="180"/>
      <c r="AN30" s="180"/>
      <c r="AO30" s="180"/>
      <c r="AP30" s="180"/>
      <c r="AQ30" s="180"/>
      <c r="AR30" s="180"/>
      <c r="AS30" s="180"/>
      <c r="AT30" s="180"/>
      <c r="AU30" s="180"/>
      <c r="AV30" s="180"/>
      <c r="AW30" s="180"/>
      <c r="AX30" s="180"/>
      <c r="AY30" s="180"/>
      <c r="AZ30" s="180"/>
      <c r="BA30" s="180"/>
      <c r="BB30" s="180"/>
      <c r="BC30" s="180"/>
    </row>
    <row r="31" spans="1:55" ht="148.19999999999999" customHeight="1" thickBot="1" x14ac:dyDescent="0.4">
      <c r="A31" s="184"/>
      <c r="B31" s="930" t="s">
        <v>704</v>
      </c>
      <c r="C31" s="934" t="s">
        <v>1409</v>
      </c>
      <c r="D31" s="214" t="s">
        <v>683</v>
      </c>
      <c r="E31" s="203">
        <v>0.6</v>
      </c>
      <c r="F31" s="204">
        <v>1</v>
      </c>
      <c r="G31" s="199">
        <v>0.6</v>
      </c>
      <c r="H31" s="199">
        <v>0.4</v>
      </c>
      <c r="I31" s="205">
        <f>+G31/F31</f>
        <v>0.6</v>
      </c>
      <c r="J31" s="205">
        <f t="shared" si="27"/>
        <v>0.4</v>
      </c>
      <c r="K31" s="205">
        <f>+(G31/F31)*E31</f>
        <v>0.36</v>
      </c>
      <c r="L31" s="205">
        <f t="shared" si="28"/>
        <v>0.24</v>
      </c>
      <c r="M31" s="199">
        <v>0.6</v>
      </c>
      <c r="N31" s="595">
        <v>0.4</v>
      </c>
      <c r="O31" s="595">
        <v>0.1</v>
      </c>
      <c r="P31" s="595">
        <v>0</v>
      </c>
      <c r="Q31" s="595">
        <v>0</v>
      </c>
      <c r="R31" s="595"/>
      <c r="S31" s="199">
        <f t="shared" si="18"/>
        <v>0.5</v>
      </c>
      <c r="T31" s="199">
        <f t="shared" si="12"/>
        <v>1.1000000000000001</v>
      </c>
      <c r="U31" s="223">
        <f>+(M31/G31)</f>
        <v>1</v>
      </c>
      <c r="V31" s="223">
        <v>1</v>
      </c>
      <c r="W31" s="223">
        <f>+U31*E31</f>
        <v>0.6</v>
      </c>
      <c r="X31" s="223">
        <f t="shared" si="30"/>
        <v>0.6</v>
      </c>
      <c r="Y31" s="223">
        <f>+M31/F31</f>
        <v>0.6</v>
      </c>
      <c r="Z31" s="223">
        <v>1</v>
      </c>
      <c r="AA31" s="223">
        <f>+Y31*E31</f>
        <v>0.36</v>
      </c>
      <c r="AB31" s="223">
        <f>+Z31*E31</f>
        <v>0.6</v>
      </c>
      <c r="AC31" s="636" t="s">
        <v>1850</v>
      </c>
      <c r="AD31" s="719" t="s">
        <v>1899</v>
      </c>
      <c r="AE31" s="1100" t="s">
        <v>1591</v>
      </c>
      <c r="AF31" s="1100" t="s">
        <v>2346</v>
      </c>
      <c r="AG31" s="719" t="s">
        <v>2431</v>
      </c>
      <c r="AH31" s="719" t="s">
        <v>1865</v>
      </c>
      <c r="AI31" s="719" t="s">
        <v>2431</v>
      </c>
      <c r="AJ31" s="180"/>
      <c r="AK31" s="180"/>
      <c r="AL31" s="180"/>
      <c r="AM31" s="180"/>
      <c r="AN31" s="180"/>
      <c r="AO31" s="180"/>
      <c r="AP31" s="180"/>
      <c r="AQ31" s="180"/>
      <c r="AR31" s="180"/>
      <c r="AS31" s="180"/>
      <c r="AT31" s="180"/>
      <c r="AU31" s="180"/>
      <c r="AV31" s="180"/>
      <c r="AW31" s="180"/>
      <c r="AX31" s="180"/>
      <c r="AY31" s="180"/>
      <c r="AZ31" s="180"/>
      <c r="BA31" s="180"/>
      <c r="BB31" s="180"/>
      <c r="BC31" s="180"/>
    </row>
    <row r="32" spans="1:55" ht="81.599999999999994" customHeight="1" thickBot="1" x14ac:dyDescent="0.4">
      <c r="A32" s="184"/>
      <c r="B32" s="1001" t="s">
        <v>705</v>
      </c>
      <c r="C32" s="1002" t="s">
        <v>1410</v>
      </c>
      <c r="D32" s="214" t="s">
        <v>683</v>
      </c>
      <c r="E32" s="203">
        <v>0.1</v>
      </c>
      <c r="F32" s="204">
        <v>1</v>
      </c>
      <c r="G32" s="199"/>
      <c r="H32" s="199">
        <v>1</v>
      </c>
      <c r="I32" s="205"/>
      <c r="J32" s="205">
        <f t="shared" si="27"/>
        <v>1</v>
      </c>
      <c r="K32" s="205"/>
      <c r="L32" s="205">
        <f t="shared" si="28"/>
        <v>0.1</v>
      </c>
      <c r="M32" s="199"/>
      <c r="N32" s="595">
        <v>0</v>
      </c>
      <c r="O32" s="595">
        <v>0</v>
      </c>
      <c r="P32" s="595">
        <v>0</v>
      </c>
      <c r="Q32" s="595">
        <v>0</v>
      </c>
      <c r="R32" s="595">
        <v>0.2</v>
      </c>
      <c r="S32" s="199">
        <f>+N32+O32+P32+Q32+R32</f>
        <v>0.2</v>
      </c>
      <c r="T32" s="199">
        <f t="shared" si="12"/>
        <v>0.2</v>
      </c>
      <c r="U32" s="223"/>
      <c r="V32" s="223">
        <f t="shared" si="29"/>
        <v>0.2</v>
      </c>
      <c r="W32" s="223"/>
      <c r="X32" s="223">
        <f t="shared" si="30"/>
        <v>2.0000000000000004E-2</v>
      </c>
      <c r="Y32" s="223"/>
      <c r="Z32" s="223">
        <f t="shared" si="31"/>
        <v>0.2</v>
      </c>
      <c r="AA32" s="223"/>
      <c r="AB32" s="223">
        <f>+Z32*E32</f>
        <v>2.0000000000000004E-2</v>
      </c>
      <c r="AC32" s="636" t="s">
        <v>1850</v>
      </c>
      <c r="AD32" s="1101" t="s">
        <v>1893</v>
      </c>
      <c r="AE32" s="1100" t="s">
        <v>2275</v>
      </c>
      <c r="AF32" s="1100" t="s">
        <v>2296</v>
      </c>
      <c r="AG32" s="192"/>
      <c r="AH32" s="1100" t="s">
        <v>2447</v>
      </c>
      <c r="AI32" s="186"/>
      <c r="AJ32" s="180"/>
      <c r="AK32" s="180"/>
      <c r="AL32" s="180"/>
      <c r="AM32" s="180"/>
      <c r="AN32" s="180"/>
      <c r="AO32" s="180"/>
      <c r="AP32" s="180"/>
      <c r="AQ32" s="180"/>
      <c r="AR32" s="180"/>
      <c r="AS32" s="180"/>
      <c r="AT32" s="180"/>
      <c r="AU32" s="180"/>
      <c r="AV32" s="180"/>
      <c r="AW32" s="180"/>
      <c r="AX32" s="180"/>
      <c r="AY32" s="180"/>
      <c r="AZ32" s="180"/>
      <c r="BA32" s="180"/>
      <c r="BB32" s="180"/>
      <c r="BC32" s="180"/>
    </row>
    <row r="33" spans="1:55" ht="78" customHeight="1" thickBot="1" x14ac:dyDescent="0.4">
      <c r="A33" s="184"/>
      <c r="B33" s="1323" t="s">
        <v>1791</v>
      </c>
      <c r="C33" s="1320"/>
      <c r="D33" s="214"/>
      <c r="E33" s="187">
        <v>0.15</v>
      </c>
      <c r="F33" s="188">
        <f>+E33*W33</f>
        <v>0.09</v>
      </c>
      <c r="G33" s="192"/>
      <c r="H33" s="188">
        <f>+E33*X33</f>
        <v>6.7174999999999999E-2</v>
      </c>
      <c r="I33" s="190">
        <f>+(I34+I40+I43)/3</f>
        <v>0.36472934472934471</v>
      </c>
      <c r="J33" s="190">
        <f>+(J34+J40+J43)/3</f>
        <v>0.15683760683760684</v>
      </c>
      <c r="K33" s="191">
        <f>+(K34+K40+K43)/3</f>
        <v>0.25547008547008548</v>
      </c>
      <c r="L33" s="191">
        <f>+(L34+L40+L43)/3</f>
        <v>0.16822649572649573</v>
      </c>
      <c r="M33" s="192"/>
      <c r="N33" s="192"/>
      <c r="O33" s="192"/>
      <c r="P33" s="192"/>
      <c r="Q33" s="192"/>
      <c r="R33" s="1209"/>
      <c r="S33" s="192"/>
      <c r="T33" s="192"/>
      <c r="U33" s="190">
        <f>+(U34+U40+U43)/3</f>
        <v>0.88888888888888884</v>
      </c>
      <c r="V33" s="190">
        <f>+(V34+V40+V43)/3</f>
        <v>0.87481481481481482</v>
      </c>
      <c r="W33" s="191">
        <f>W34+W40+W43</f>
        <v>0.6</v>
      </c>
      <c r="X33" s="191">
        <f>X34+X40+X43</f>
        <v>0.44783333333333336</v>
      </c>
      <c r="Y33" s="190">
        <f>(Y34+Y40+Y43)/3</f>
        <v>0.28650042735042736</v>
      </c>
      <c r="Z33" s="190">
        <f>(Z34+Z40+Z43)/3</f>
        <v>0.55999045584045581</v>
      </c>
      <c r="AA33" s="191">
        <f>AA34+AA40+AA43</f>
        <v>0.23447615384615383</v>
      </c>
      <c r="AB33" s="191">
        <f>(AB34*E34)+(AB40*E40)+(AB43*E43)</f>
        <v>0.45406589743589743</v>
      </c>
      <c r="AC33" s="1096"/>
      <c r="AD33" s="197"/>
      <c r="AE33" s="192"/>
      <c r="AF33" s="192"/>
      <c r="AG33" s="192"/>
      <c r="AH33" s="192"/>
      <c r="AI33" s="186"/>
      <c r="AJ33" s="180"/>
      <c r="AK33" s="180"/>
      <c r="AL33" s="180"/>
      <c r="AM33" s="180"/>
      <c r="AN33" s="180"/>
      <c r="AO33" s="180"/>
      <c r="AP33" s="180"/>
      <c r="AQ33" s="180"/>
      <c r="AR33" s="180"/>
      <c r="AS33" s="180"/>
      <c r="AT33" s="180"/>
      <c r="AU33" s="180"/>
      <c r="AV33" s="180"/>
      <c r="AW33" s="180"/>
      <c r="AX33" s="180"/>
      <c r="AY33" s="180"/>
      <c r="AZ33" s="180"/>
      <c r="BA33" s="180"/>
      <c r="BB33" s="180"/>
      <c r="BC33" s="180"/>
    </row>
    <row r="34" spans="1:55" ht="123.6" customHeight="1" thickBot="1" x14ac:dyDescent="0.4">
      <c r="A34" s="184"/>
      <c r="B34" s="1319" t="s">
        <v>1706</v>
      </c>
      <c r="C34" s="1320"/>
      <c r="D34" s="214"/>
      <c r="E34" s="195">
        <v>0.5</v>
      </c>
      <c r="F34" s="216"/>
      <c r="G34" s="192"/>
      <c r="H34" s="192"/>
      <c r="I34" s="198">
        <f>+AVERAGE(I35:I39)</f>
        <v>8.6111111111111097E-2</v>
      </c>
      <c r="J34" s="198">
        <f>+AVERAGE(J35:J39)</f>
        <v>8.1666666666666665E-2</v>
      </c>
      <c r="K34" s="198">
        <f>+K35+K36+K37+K38+K39</f>
        <v>5.0833333333333328E-2</v>
      </c>
      <c r="L34" s="198">
        <f>+L35+L36+L37+L38+L39</f>
        <v>0.11583333333333333</v>
      </c>
      <c r="M34" s="197"/>
      <c r="N34" s="197"/>
      <c r="O34" s="197"/>
      <c r="P34" s="197"/>
      <c r="Q34" s="197"/>
      <c r="R34" s="1210"/>
      <c r="S34" s="197"/>
      <c r="T34" s="197"/>
      <c r="U34" s="221">
        <f>+AVERAGE(U35:U39)</f>
        <v>0.66666666666666663</v>
      </c>
      <c r="V34" s="221">
        <f>+AVERAGE(V35:V39)</f>
        <v>0.62444444444444447</v>
      </c>
      <c r="W34" s="221">
        <f>+(W35+W36+W37+W38+W39)*E34</f>
        <v>0.22499999999999998</v>
      </c>
      <c r="X34" s="221">
        <f>+(X35+X36+X37+X38+X39)*E34</f>
        <v>0.19783333333333336</v>
      </c>
      <c r="Y34" s="198">
        <f>+AVERAGE(Y35:Y39)</f>
        <v>0.10536666666666666</v>
      </c>
      <c r="Z34" s="846">
        <f>+AVERAGE(Z35:Z39)</f>
        <v>0.27314444444444441</v>
      </c>
      <c r="AA34" s="198">
        <f>+(AA35+AA36+AA37+AA38+AA39)*E34</f>
        <v>4.5942499999999997E-2</v>
      </c>
      <c r="AB34" s="198">
        <f>+(AB35+AB36+AB37+AB38+AB39)</f>
        <v>0.20471833333333331</v>
      </c>
      <c r="AC34" s="679"/>
      <c r="AD34" s="1102" t="s">
        <v>1998</v>
      </c>
      <c r="AE34" s="192"/>
      <c r="AF34" s="192"/>
      <c r="AG34" s="192"/>
      <c r="AH34" s="192"/>
      <c r="AI34" s="186"/>
      <c r="AJ34" s="180"/>
      <c r="AK34" s="180"/>
      <c r="AL34" s="180"/>
      <c r="AM34" s="180"/>
      <c r="AN34" s="180"/>
      <c r="AO34" s="180"/>
      <c r="AP34" s="180"/>
      <c r="AQ34" s="180"/>
      <c r="AR34" s="180"/>
      <c r="AS34" s="180"/>
      <c r="AT34" s="180"/>
      <c r="AU34" s="180"/>
      <c r="AV34" s="180"/>
      <c r="AW34" s="180"/>
      <c r="AX34" s="180"/>
      <c r="AY34" s="180"/>
      <c r="AZ34" s="180"/>
      <c r="BA34" s="180"/>
      <c r="BB34" s="180"/>
      <c r="BC34" s="180"/>
    </row>
    <row r="35" spans="1:55" ht="78" customHeight="1" thickBot="1" x14ac:dyDescent="0.4">
      <c r="A35" s="184"/>
      <c r="B35" s="930" t="s">
        <v>706</v>
      </c>
      <c r="C35" s="934" t="s">
        <v>1411</v>
      </c>
      <c r="D35" s="218" t="s">
        <v>707</v>
      </c>
      <c r="E35" s="219">
        <v>0.2</v>
      </c>
      <c r="F35" s="204">
        <v>3</v>
      </c>
      <c r="G35" s="199">
        <v>0</v>
      </c>
      <c r="H35" s="199"/>
      <c r="I35" s="205"/>
      <c r="J35" s="205">
        <f t="shared" ref="J35:J39" si="32">+H35/F35</f>
        <v>0</v>
      </c>
      <c r="K35" s="205"/>
      <c r="L35" s="205">
        <f t="shared" ref="L35:L39" si="33">+(H35/F35)*E35</f>
        <v>0</v>
      </c>
      <c r="M35" s="199"/>
      <c r="N35" s="595"/>
      <c r="O35" s="199"/>
      <c r="P35" s="199"/>
      <c r="Q35" s="199"/>
      <c r="R35" s="935"/>
      <c r="S35" s="199">
        <f>+N35+O35+P35+Q35+R35</f>
        <v>0</v>
      </c>
      <c r="T35" s="199">
        <f t="shared" ref="T35:T39" si="34">+S35+M35</f>
        <v>0</v>
      </c>
      <c r="U35" s="205"/>
      <c r="V35" s="205"/>
      <c r="W35" s="205"/>
      <c r="X35" s="205">
        <f t="shared" ref="X35:X39" si="35">+V35*E35</f>
        <v>0</v>
      </c>
      <c r="Y35" s="205"/>
      <c r="Z35" s="205"/>
      <c r="AA35" s="205"/>
      <c r="AB35" s="205">
        <v>0</v>
      </c>
      <c r="AC35" s="1097" t="s">
        <v>1557</v>
      </c>
      <c r="AD35" s="719" t="s">
        <v>1924</v>
      </c>
      <c r="AE35" s="192"/>
      <c r="AF35" s="719" t="s">
        <v>2326</v>
      </c>
      <c r="AG35" s="192"/>
      <c r="AH35" s="719" t="s">
        <v>1865</v>
      </c>
      <c r="AI35" s="186"/>
      <c r="AJ35" s="180"/>
      <c r="AK35" s="180"/>
      <c r="AL35" s="180"/>
      <c r="AM35" s="180"/>
      <c r="AN35" s="180"/>
      <c r="AO35" s="180"/>
      <c r="AP35" s="180"/>
      <c r="AQ35" s="180"/>
      <c r="AR35" s="180"/>
      <c r="AS35" s="180"/>
      <c r="AT35" s="180"/>
      <c r="AU35" s="180"/>
      <c r="AV35" s="180"/>
      <c r="AW35" s="180"/>
      <c r="AX35" s="180"/>
      <c r="AY35" s="180"/>
      <c r="AZ35" s="180"/>
      <c r="BA35" s="180"/>
      <c r="BB35" s="180"/>
      <c r="BC35" s="180"/>
    </row>
    <row r="36" spans="1:55" ht="95.4" customHeight="1" thickBot="1" x14ac:dyDescent="0.4">
      <c r="A36" s="184"/>
      <c r="B36" s="930" t="s">
        <v>708</v>
      </c>
      <c r="C36" s="934" t="s">
        <v>1412</v>
      </c>
      <c r="D36" s="218" t="s">
        <v>58</v>
      </c>
      <c r="E36" s="219">
        <v>0.25</v>
      </c>
      <c r="F36" s="204">
        <v>500</v>
      </c>
      <c r="G36" s="199"/>
      <c r="H36" s="199"/>
      <c r="I36" s="205"/>
      <c r="J36" s="205">
        <f t="shared" si="32"/>
        <v>0</v>
      </c>
      <c r="K36" s="205"/>
      <c r="L36" s="205">
        <f t="shared" si="33"/>
        <v>0</v>
      </c>
      <c r="M36" s="199"/>
      <c r="N36" s="595"/>
      <c r="O36" s="199"/>
      <c r="P36" s="199"/>
      <c r="Q36" s="199"/>
      <c r="R36" s="935"/>
      <c r="S36" s="199">
        <f t="shared" ref="S36:S98" si="36">+N36+O36+P36+Q36+R36</f>
        <v>0</v>
      </c>
      <c r="T36" s="199">
        <f t="shared" si="34"/>
        <v>0</v>
      </c>
      <c r="U36" s="205"/>
      <c r="V36" s="205"/>
      <c r="W36" s="205"/>
      <c r="X36" s="205">
        <f t="shared" si="35"/>
        <v>0</v>
      </c>
      <c r="Y36" s="205"/>
      <c r="Z36" s="205"/>
      <c r="AA36" s="205"/>
      <c r="AB36" s="205">
        <v>0</v>
      </c>
      <c r="AC36" s="1097" t="s">
        <v>1564</v>
      </c>
      <c r="AD36" s="719" t="s">
        <v>1925</v>
      </c>
      <c r="AE36" s="192"/>
      <c r="AF36" s="719" t="s">
        <v>2326</v>
      </c>
      <c r="AG36" s="192"/>
      <c r="AH36" s="719" t="s">
        <v>1865</v>
      </c>
      <c r="AI36" s="186"/>
      <c r="AJ36" s="180"/>
      <c r="AK36" s="180"/>
      <c r="AL36" s="180"/>
      <c r="AM36" s="180"/>
      <c r="AN36" s="180"/>
      <c r="AO36" s="180"/>
      <c r="AP36" s="180"/>
      <c r="AQ36" s="180"/>
      <c r="AR36" s="180"/>
      <c r="AS36" s="180"/>
      <c r="AT36" s="180"/>
      <c r="AU36" s="180"/>
      <c r="AV36" s="180"/>
      <c r="AW36" s="180"/>
      <c r="AX36" s="180"/>
      <c r="AY36" s="180"/>
      <c r="AZ36" s="180"/>
      <c r="BA36" s="180"/>
      <c r="BB36" s="180"/>
      <c r="BC36" s="180"/>
    </row>
    <row r="37" spans="1:55" ht="87.6" customHeight="1" thickBot="1" x14ac:dyDescent="0.4">
      <c r="A37" s="184"/>
      <c r="B37" s="1012" t="s">
        <v>709</v>
      </c>
      <c r="C37" s="1254" t="s">
        <v>1413</v>
      </c>
      <c r="D37" s="214" t="s">
        <v>683</v>
      </c>
      <c r="E37" s="203">
        <v>0.1</v>
      </c>
      <c r="F37" s="204">
        <v>4</v>
      </c>
      <c r="G37" s="199">
        <v>0.3</v>
      </c>
      <c r="H37" s="199">
        <v>0.1</v>
      </c>
      <c r="I37" s="205">
        <f>+G37/F37</f>
        <v>7.4999999999999997E-2</v>
      </c>
      <c r="J37" s="205">
        <f t="shared" si="32"/>
        <v>2.5000000000000001E-2</v>
      </c>
      <c r="K37" s="205">
        <f>+(G37/F37)*E37</f>
        <v>7.4999999999999997E-3</v>
      </c>
      <c r="L37" s="205">
        <f t="shared" si="33"/>
        <v>2.5000000000000005E-3</v>
      </c>
      <c r="M37" s="199">
        <v>0.3</v>
      </c>
      <c r="N37" s="595">
        <v>0.1</v>
      </c>
      <c r="O37" s="595">
        <v>0.6</v>
      </c>
      <c r="P37" s="595">
        <v>0.2</v>
      </c>
      <c r="Q37" s="595">
        <v>0</v>
      </c>
      <c r="R37" s="595">
        <v>0.1</v>
      </c>
      <c r="S37" s="199">
        <f t="shared" si="36"/>
        <v>0.99999999999999989</v>
      </c>
      <c r="T37" s="199">
        <f t="shared" si="34"/>
        <v>1.2999999999999998</v>
      </c>
      <c r="U37" s="223">
        <f>+(M37/G37)</f>
        <v>1</v>
      </c>
      <c r="V37" s="223">
        <v>1</v>
      </c>
      <c r="W37" s="223">
        <f>+U37*E37</f>
        <v>0.1</v>
      </c>
      <c r="X37" s="223">
        <f t="shared" si="35"/>
        <v>0.1</v>
      </c>
      <c r="Y37" s="223">
        <f>+M37/F37</f>
        <v>7.4999999999999997E-2</v>
      </c>
      <c r="Z37" s="223">
        <f>+T37/F37</f>
        <v>0.32499999999999996</v>
      </c>
      <c r="AA37" s="223">
        <f>+Y37*E37</f>
        <v>7.4999999999999997E-3</v>
      </c>
      <c r="AB37" s="223">
        <f>+Z37*E37</f>
        <v>3.2499999999999994E-2</v>
      </c>
      <c r="AC37" s="636" t="s">
        <v>1850</v>
      </c>
      <c r="AD37" s="1100" t="s">
        <v>1893</v>
      </c>
      <c r="AE37" s="1100" t="s">
        <v>2275</v>
      </c>
      <c r="AF37" s="1331" t="s">
        <v>2305</v>
      </c>
      <c r="AG37" s="1100" t="s">
        <v>2412</v>
      </c>
      <c r="AH37" s="1100" t="s">
        <v>2447</v>
      </c>
      <c r="AI37" s="1245" t="s">
        <v>2305</v>
      </c>
      <c r="AJ37" s="180"/>
      <c r="AK37" s="180"/>
      <c r="AL37" s="180"/>
      <c r="AM37" s="180"/>
      <c r="AN37" s="180"/>
      <c r="AO37" s="180"/>
      <c r="AP37" s="180"/>
      <c r="AQ37" s="180"/>
      <c r="AR37" s="180"/>
      <c r="AS37" s="180"/>
      <c r="AT37" s="180"/>
      <c r="AU37" s="180"/>
      <c r="AV37" s="180"/>
      <c r="AW37" s="180"/>
      <c r="AX37" s="180"/>
      <c r="AY37" s="180"/>
      <c r="AZ37" s="180"/>
      <c r="BA37" s="180"/>
      <c r="BB37" s="180"/>
      <c r="BC37" s="180"/>
    </row>
    <row r="38" spans="1:55" ht="132.6" customHeight="1" thickBot="1" x14ac:dyDescent="0.4">
      <c r="A38" s="184"/>
      <c r="B38" s="930" t="s">
        <v>710</v>
      </c>
      <c r="C38" s="934" t="s">
        <v>1414</v>
      </c>
      <c r="D38" s="214" t="s">
        <v>683</v>
      </c>
      <c r="E38" s="203">
        <v>0.1</v>
      </c>
      <c r="F38" s="204">
        <v>3</v>
      </c>
      <c r="G38" s="199">
        <v>0.25</v>
      </c>
      <c r="H38" s="199">
        <v>0.25</v>
      </c>
      <c r="I38" s="205">
        <f>+G38/F38</f>
        <v>8.3333333333333329E-2</v>
      </c>
      <c r="J38" s="205">
        <f t="shared" si="32"/>
        <v>8.3333333333333329E-2</v>
      </c>
      <c r="K38" s="205">
        <f>+(G38/F38)*E38</f>
        <v>8.3333333333333332E-3</v>
      </c>
      <c r="L38" s="205">
        <f t="shared" si="33"/>
        <v>8.3333333333333332E-3</v>
      </c>
      <c r="M38" s="199">
        <v>0</v>
      </c>
      <c r="N38" s="595">
        <v>0</v>
      </c>
      <c r="O38" s="595">
        <v>0</v>
      </c>
      <c r="P38" s="595">
        <v>0.01</v>
      </c>
      <c r="Q38" s="199"/>
      <c r="R38" s="935"/>
      <c r="S38" s="199">
        <f t="shared" si="36"/>
        <v>0.01</v>
      </c>
      <c r="T38" s="199">
        <f t="shared" si="34"/>
        <v>0.01</v>
      </c>
      <c r="U38" s="223">
        <f>+(M38/G38)</f>
        <v>0</v>
      </c>
      <c r="V38" s="223">
        <f t="shared" ref="V38:V39" si="37">+S38/H38</f>
        <v>0.04</v>
      </c>
      <c r="W38" s="223">
        <f>+U38*E38</f>
        <v>0</v>
      </c>
      <c r="X38" s="223">
        <f t="shared" si="35"/>
        <v>4.0000000000000001E-3</v>
      </c>
      <c r="Y38" s="223">
        <f>+M38/F38</f>
        <v>0</v>
      </c>
      <c r="Z38" s="223">
        <f t="shared" ref="Z38:Z39" si="38">+T38/F38</f>
        <v>3.3333333333333335E-3</v>
      </c>
      <c r="AA38" s="223">
        <f>+Y38*E38</f>
        <v>0</v>
      </c>
      <c r="AB38" s="223">
        <f>+Z38*E38</f>
        <v>3.3333333333333338E-4</v>
      </c>
      <c r="AC38" s="636" t="s">
        <v>1850</v>
      </c>
      <c r="AD38" s="1100" t="s">
        <v>1893</v>
      </c>
      <c r="AE38" s="1100" t="s">
        <v>2275</v>
      </c>
      <c r="AF38" s="1331"/>
      <c r="AG38" s="1100" t="s">
        <v>2412</v>
      </c>
      <c r="AH38" s="719" t="s">
        <v>1865</v>
      </c>
      <c r="AI38" s="1245" t="s">
        <v>2582</v>
      </c>
      <c r="AJ38" s="180"/>
      <c r="AK38" s="180"/>
      <c r="AL38" s="180"/>
      <c r="AM38" s="180"/>
      <c r="AN38" s="180"/>
      <c r="AO38" s="180"/>
      <c r="AP38" s="180"/>
      <c r="AQ38" s="180"/>
      <c r="AR38" s="180"/>
      <c r="AS38" s="180"/>
      <c r="AT38" s="180"/>
      <c r="AU38" s="180"/>
      <c r="AV38" s="180"/>
      <c r="AW38" s="180"/>
      <c r="AX38" s="180"/>
      <c r="AY38" s="180"/>
      <c r="AZ38" s="180"/>
      <c r="BA38" s="180"/>
      <c r="BB38" s="180"/>
      <c r="BC38" s="180"/>
    </row>
    <row r="39" spans="1:55" ht="64.2" customHeight="1" thickBot="1" x14ac:dyDescent="0.4">
      <c r="A39" s="184"/>
      <c r="B39" s="1012" t="s">
        <v>711</v>
      </c>
      <c r="C39" s="1254" t="s">
        <v>1415</v>
      </c>
      <c r="D39" s="214" t="s">
        <v>683</v>
      </c>
      <c r="E39" s="203">
        <v>0.35</v>
      </c>
      <c r="F39" s="204">
        <v>10000</v>
      </c>
      <c r="G39" s="199">
        <v>1000</v>
      </c>
      <c r="H39" s="199">
        <v>3000</v>
      </c>
      <c r="I39" s="205">
        <f>+G39/F39</f>
        <v>0.1</v>
      </c>
      <c r="J39" s="205">
        <f t="shared" si="32"/>
        <v>0.3</v>
      </c>
      <c r="K39" s="205">
        <f>+(G39/F39)*E39</f>
        <v>3.4999999999999996E-2</v>
      </c>
      <c r="L39" s="205">
        <f t="shared" si="33"/>
        <v>0.105</v>
      </c>
      <c r="M39" s="199">
        <v>2411</v>
      </c>
      <c r="N39" s="595">
        <v>0</v>
      </c>
      <c r="O39" s="595">
        <v>0</v>
      </c>
      <c r="P39" s="595">
        <v>1336</v>
      </c>
      <c r="Q39" s="595">
        <v>1164</v>
      </c>
      <c r="R39" s="595">
        <v>0</v>
      </c>
      <c r="S39" s="199">
        <f t="shared" si="36"/>
        <v>2500</v>
      </c>
      <c r="T39" s="199">
        <f t="shared" si="34"/>
        <v>4911</v>
      </c>
      <c r="U39" s="223">
        <v>1</v>
      </c>
      <c r="V39" s="223">
        <f t="shared" si="37"/>
        <v>0.83333333333333337</v>
      </c>
      <c r="W39" s="223">
        <f>+U39*E39</f>
        <v>0.35</v>
      </c>
      <c r="X39" s="223">
        <f t="shared" si="35"/>
        <v>0.29166666666666669</v>
      </c>
      <c r="Y39" s="223">
        <f>+M39/F39</f>
        <v>0.24110000000000001</v>
      </c>
      <c r="Z39" s="223">
        <f t="shared" si="38"/>
        <v>0.49109999999999998</v>
      </c>
      <c r="AA39" s="223">
        <f>+Y39*E39</f>
        <v>8.4385000000000002E-2</v>
      </c>
      <c r="AB39" s="223">
        <f>+Z39*E39</f>
        <v>0.17188499999999998</v>
      </c>
      <c r="AC39" s="636" t="s">
        <v>1850</v>
      </c>
      <c r="AD39" s="1100" t="s">
        <v>1893</v>
      </c>
      <c r="AE39" s="1100" t="s">
        <v>2275</v>
      </c>
      <c r="AF39" s="1331"/>
      <c r="AG39" s="1100" t="s">
        <v>2412</v>
      </c>
      <c r="AH39" s="1100" t="s">
        <v>2447</v>
      </c>
      <c r="AI39" s="1245" t="s">
        <v>2305</v>
      </c>
      <c r="AJ39" s="180"/>
      <c r="AK39" s="180"/>
      <c r="AL39" s="180"/>
      <c r="AM39" s="180"/>
      <c r="AN39" s="180"/>
      <c r="AO39" s="180"/>
      <c r="AP39" s="180"/>
      <c r="AQ39" s="180"/>
      <c r="AR39" s="180"/>
      <c r="AS39" s="180"/>
      <c r="AT39" s="180"/>
      <c r="AU39" s="180"/>
      <c r="AV39" s="180"/>
      <c r="AW39" s="180"/>
      <c r="AX39" s="180"/>
      <c r="AY39" s="180"/>
      <c r="AZ39" s="180"/>
      <c r="BA39" s="180"/>
      <c r="BB39" s="180"/>
      <c r="BC39" s="180"/>
    </row>
    <row r="40" spans="1:55" ht="68.400000000000006" customHeight="1" thickBot="1" x14ac:dyDescent="0.4">
      <c r="A40" s="184"/>
      <c r="B40" s="1319" t="s">
        <v>1707</v>
      </c>
      <c r="C40" s="1320"/>
      <c r="D40" s="214"/>
      <c r="E40" s="195">
        <v>0.25</v>
      </c>
      <c r="F40" s="204"/>
      <c r="G40" s="199"/>
      <c r="H40" s="199"/>
      <c r="I40" s="198">
        <f>+AVERAGE(I41:I42)</f>
        <v>0.58499999999999996</v>
      </c>
      <c r="J40" s="198">
        <f>+AVERAGE(J41:J42)</f>
        <v>0.23500000000000001</v>
      </c>
      <c r="K40" s="198">
        <f>+K41+K42</f>
        <v>0.29249999999999998</v>
      </c>
      <c r="L40" s="198">
        <f>+L41+L42</f>
        <v>0.23500000000000001</v>
      </c>
      <c r="M40" s="197"/>
      <c r="N40" s="197"/>
      <c r="O40" s="197"/>
      <c r="P40" s="197"/>
      <c r="Q40" s="197"/>
      <c r="R40" s="1210"/>
      <c r="S40" s="199"/>
      <c r="T40" s="197"/>
      <c r="U40" s="221">
        <f>+AVERAGE(U41:U43)</f>
        <v>1</v>
      </c>
      <c r="V40" s="221">
        <f>+AVERAGE(V41:V42)</f>
        <v>1</v>
      </c>
      <c r="W40" s="221">
        <f>+(W41+W42)*E40</f>
        <v>0.125</v>
      </c>
      <c r="X40" s="221">
        <f>+(X41+X42)*E40</f>
        <v>0.25</v>
      </c>
      <c r="Y40" s="198">
        <f>+AVERAGE(Y41:Y42)*0.5</f>
        <v>0.30875000000000002</v>
      </c>
      <c r="Z40" s="198">
        <f>+AVERAGE(Z41:Z42)</f>
        <v>0.54374999999999996</v>
      </c>
      <c r="AA40" s="198">
        <f>+(AA41+AA42)*E40</f>
        <v>7.7187500000000006E-2</v>
      </c>
      <c r="AB40" s="198">
        <f>+(AB41+AB42)</f>
        <v>0.54374999999999996</v>
      </c>
      <c r="AC40" s="663"/>
      <c r="AD40" s="192"/>
      <c r="AE40" s="192"/>
      <c r="AF40" s="192"/>
      <c r="AG40" s="192"/>
      <c r="AH40" s="192"/>
      <c r="AI40" s="186"/>
      <c r="AJ40" s="180"/>
      <c r="AK40" s="180"/>
      <c r="AL40" s="180"/>
      <c r="AM40" s="180"/>
      <c r="AN40" s="180"/>
      <c r="AO40" s="180"/>
      <c r="AP40" s="180"/>
      <c r="AQ40" s="180"/>
      <c r="AR40" s="180"/>
      <c r="AS40" s="180"/>
      <c r="AT40" s="180"/>
      <c r="AU40" s="180"/>
      <c r="AV40" s="180"/>
      <c r="AW40" s="180"/>
      <c r="AX40" s="180"/>
      <c r="AY40" s="180"/>
      <c r="AZ40" s="180"/>
      <c r="BA40" s="180"/>
      <c r="BB40" s="180"/>
      <c r="BC40" s="180"/>
    </row>
    <row r="41" spans="1:55" ht="69.599999999999994" customHeight="1" thickBot="1" x14ac:dyDescent="0.4">
      <c r="A41" s="184"/>
      <c r="B41" s="1001" t="s">
        <v>712</v>
      </c>
      <c r="C41" s="1002" t="s">
        <v>1416</v>
      </c>
      <c r="D41" s="214" t="s">
        <v>516</v>
      </c>
      <c r="E41" s="203">
        <v>0.5</v>
      </c>
      <c r="F41" s="204">
        <v>400</v>
      </c>
      <c r="G41" s="199">
        <v>234</v>
      </c>
      <c r="H41" s="199">
        <v>55</v>
      </c>
      <c r="I41" s="205">
        <f>+G41/F41</f>
        <v>0.58499999999999996</v>
      </c>
      <c r="J41" s="205">
        <f t="shared" ref="J41:J42" si="39">+H41/F41</f>
        <v>0.13750000000000001</v>
      </c>
      <c r="K41" s="205">
        <f>+(G41/F41)*E41</f>
        <v>0.29249999999999998</v>
      </c>
      <c r="L41" s="205">
        <f t="shared" ref="L41:L42" si="40">+(H41/F41)*E41</f>
        <v>6.8750000000000006E-2</v>
      </c>
      <c r="M41" s="199">
        <v>247</v>
      </c>
      <c r="N41" s="595">
        <v>55</v>
      </c>
      <c r="O41" s="595">
        <v>0</v>
      </c>
      <c r="P41" s="595">
        <v>0</v>
      </c>
      <c r="Q41" s="595">
        <v>0</v>
      </c>
      <c r="R41" s="595">
        <v>0</v>
      </c>
      <c r="S41" s="199">
        <f t="shared" si="36"/>
        <v>55</v>
      </c>
      <c r="T41" s="199">
        <f t="shared" ref="T41:T42" si="41">+S41+M41</f>
        <v>302</v>
      </c>
      <c r="U41" s="205">
        <v>1</v>
      </c>
      <c r="V41" s="205">
        <f t="shared" ref="V41:V42" si="42">+S41/H41</f>
        <v>1</v>
      </c>
      <c r="W41" s="205">
        <f>+U41*E41</f>
        <v>0.5</v>
      </c>
      <c r="X41" s="205">
        <f t="shared" ref="X41:X44" si="43">+V41*E41</f>
        <v>0.5</v>
      </c>
      <c r="Y41" s="205">
        <f>+M41/F41</f>
        <v>0.61750000000000005</v>
      </c>
      <c r="Z41" s="205">
        <f t="shared" ref="Z41:Z42" si="44">+T41/F41</f>
        <v>0.755</v>
      </c>
      <c r="AA41" s="205">
        <f>+Y41*E41</f>
        <v>0.30875000000000002</v>
      </c>
      <c r="AB41" s="205">
        <f>+Z41*E41</f>
        <v>0.3775</v>
      </c>
      <c r="AC41" s="636" t="s">
        <v>1850</v>
      </c>
      <c r="AD41" s="1100" t="s">
        <v>1893</v>
      </c>
      <c r="AE41" s="1100" t="s">
        <v>2275</v>
      </c>
      <c r="AF41" s="1100" t="s">
        <v>2296</v>
      </c>
      <c r="AG41" s="1100" t="s">
        <v>2412</v>
      </c>
      <c r="AH41" s="1100" t="s">
        <v>2447</v>
      </c>
      <c r="AI41" s="719" t="s">
        <v>2593</v>
      </c>
      <c r="AJ41" s="180"/>
      <c r="AK41" s="180"/>
      <c r="AL41" s="180"/>
      <c r="AM41" s="180"/>
      <c r="AN41" s="180"/>
      <c r="AO41" s="180"/>
      <c r="AP41" s="180"/>
      <c r="AQ41" s="180"/>
      <c r="AR41" s="180"/>
      <c r="AS41" s="180"/>
      <c r="AT41" s="180"/>
      <c r="AU41" s="180"/>
      <c r="AV41" s="180"/>
      <c r="AW41" s="180"/>
      <c r="AX41" s="180"/>
      <c r="AY41" s="180"/>
      <c r="AZ41" s="180"/>
      <c r="BA41" s="180"/>
      <c r="BB41" s="180"/>
      <c r="BC41" s="180"/>
    </row>
    <row r="42" spans="1:55" ht="154.94999999999999" customHeight="1" thickBot="1" x14ac:dyDescent="0.4">
      <c r="A42" s="184"/>
      <c r="B42" s="1001" t="s">
        <v>713</v>
      </c>
      <c r="C42" s="1002" t="s">
        <v>1417</v>
      </c>
      <c r="D42" s="214" t="s">
        <v>516</v>
      </c>
      <c r="E42" s="203">
        <v>0.5</v>
      </c>
      <c r="F42" s="204">
        <v>400</v>
      </c>
      <c r="G42" s="199">
        <v>0</v>
      </c>
      <c r="H42" s="199">
        <v>133</v>
      </c>
      <c r="I42" s="205"/>
      <c r="J42" s="205">
        <f t="shared" si="39"/>
        <v>0.33250000000000002</v>
      </c>
      <c r="K42" s="205"/>
      <c r="L42" s="205">
        <f t="shared" si="40"/>
        <v>0.16625000000000001</v>
      </c>
      <c r="M42" s="199"/>
      <c r="N42" s="595">
        <v>0</v>
      </c>
      <c r="O42" s="595">
        <v>89</v>
      </c>
      <c r="P42" s="595">
        <v>44</v>
      </c>
      <c r="Q42" s="595">
        <v>0</v>
      </c>
      <c r="R42" s="595">
        <v>0</v>
      </c>
      <c r="S42" s="199">
        <f>+N42+O42+P42+Q42+R42</f>
        <v>133</v>
      </c>
      <c r="T42" s="199">
        <f t="shared" si="41"/>
        <v>133</v>
      </c>
      <c r="U42" s="205"/>
      <c r="V42" s="205">
        <f t="shared" si="42"/>
        <v>1</v>
      </c>
      <c r="W42" s="205"/>
      <c r="X42" s="205">
        <f t="shared" si="43"/>
        <v>0.5</v>
      </c>
      <c r="Y42" s="205"/>
      <c r="Z42" s="205">
        <f t="shared" si="44"/>
        <v>0.33250000000000002</v>
      </c>
      <c r="AA42" s="205"/>
      <c r="AB42" s="205">
        <f>+Z42*E42</f>
        <v>0.16625000000000001</v>
      </c>
      <c r="AC42" s="636" t="s">
        <v>1850</v>
      </c>
      <c r="AD42" s="719" t="s">
        <v>1956</v>
      </c>
      <c r="AE42" s="1100" t="s">
        <v>2275</v>
      </c>
      <c r="AF42" s="1100" t="s">
        <v>2296</v>
      </c>
      <c r="AG42" s="1100" t="s">
        <v>2412</v>
      </c>
      <c r="AH42" s="1100" t="s">
        <v>2447</v>
      </c>
      <c r="AI42" s="719" t="s">
        <v>2593</v>
      </c>
      <c r="AJ42" s="180"/>
      <c r="AK42" s="180"/>
      <c r="AL42" s="180"/>
      <c r="AM42" s="180"/>
      <c r="AN42" s="180"/>
      <c r="AO42" s="180"/>
      <c r="AP42" s="180"/>
      <c r="AQ42" s="180"/>
      <c r="AR42" s="180"/>
      <c r="AS42" s="180"/>
      <c r="AT42" s="180"/>
      <c r="AU42" s="180"/>
      <c r="AV42" s="180"/>
      <c r="AW42" s="180"/>
      <c r="AX42" s="180"/>
      <c r="AY42" s="180"/>
      <c r="AZ42" s="180"/>
      <c r="BA42" s="180"/>
      <c r="BB42" s="180"/>
      <c r="BC42" s="180"/>
    </row>
    <row r="43" spans="1:55" ht="72" customHeight="1" thickBot="1" x14ac:dyDescent="0.4">
      <c r="A43" s="184"/>
      <c r="B43" s="1319" t="s">
        <v>1708</v>
      </c>
      <c r="C43" s="1320"/>
      <c r="D43" s="214"/>
      <c r="E43" s="195">
        <v>0.25</v>
      </c>
      <c r="F43" s="204"/>
      <c r="G43" s="199"/>
      <c r="H43" s="199"/>
      <c r="I43" s="198">
        <f>+AVERAGE(I44)</f>
        <v>0.42307692307692307</v>
      </c>
      <c r="J43" s="198">
        <f>+AVERAGE(J44)</f>
        <v>0.15384615384615385</v>
      </c>
      <c r="K43" s="198">
        <f>+K44</f>
        <v>0.42307692307692307</v>
      </c>
      <c r="L43" s="198">
        <f>+L44</f>
        <v>0.15384615384615385</v>
      </c>
      <c r="M43" s="197"/>
      <c r="N43" s="197"/>
      <c r="O43" s="197"/>
      <c r="P43" s="197"/>
      <c r="Q43" s="197"/>
      <c r="R43" s="1210"/>
      <c r="S43" s="199"/>
      <c r="T43" s="197"/>
      <c r="U43" s="221">
        <f>+AVERAGE(U44)</f>
        <v>1</v>
      </c>
      <c r="V43" s="221">
        <f>+AVERAGE(V44)</f>
        <v>1</v>
      </c>
      <c r="W43" s="221">
        <f>+(W44)*E43</f>
        <v>0.25</v>
      </c>
      <c r="X43" s="221">
        <f>+(X44)*F43</f>
        <v>0</v>
      </c>
      <c r="Y43" s="198">
        <f>+AVERAGE(Y44)</f>
        <v>0.44538461538461538</v>
      </c>
      <c r="Z43" s="198">
        <f>+AVERAGE(Z44)</f>
        <v>0.86307692307692307</v>
      </c>
      <c r="AA43" s="198">
        <f>+(AA44)*E43</f>
        <v>0.11134615384615384</v>
      </c>
      <c r="AB43" s="198">
        <f>+(AB44)</f>
        <v>0.86307692307692307</v>
      </c>
      <c r="AC43" s="663"/>
      <c r="AD43" s="192"/>
      <c r="AE43" s="192"/>
      <c r="AF43" s="192"/>
      <c r="AG43" s="192"/>
      <c r="AH43" s="192"/>
      <c r="AI43" s="447"/>
      <c r="AJ43" s="180"/>
      <c r="AK43" s="180"/>
      <c r="AL43" s="180"/>
      <c r="AM43" s="180"/>
      <c r="AN43" s="180"/>
      <c r="AO43" s="180"/>
      <c r="AP43" s="180"/>
      <c r="AQ43" s="180"/>
      <c r="AR43" s="180"/>
      <c r="AS43" s="180"/>
      <c r="AT43" s="180"/>
      <c r="AU43" s="180"/>
      <c r="AV43" s="180"/>
      <c r="AW43" s="180"/>
      <c r="AX43" s="180"/>
      <c r="AY43" s="180"/>
      <c r="AZ43" s="180"/>
      <c r="BA43" s="180"/>
      <c r="BB43" s="180"/>
      <c r="BC43" s="180"/>
    </row>
    <row r="44" spans="1:55" ht="82.2" customHeight="1" thickBot="1" x14ac:dyDescent="0.4">
      <c r="A44" s="184"/>
      <c r="B44" s="1001" t="s">
        <v>714</v>
      </c>
      <c r="C44" s="1002" t="s">
        <v>1418</v>
      </c>
      <c r="D44" s="214" t="s">
        <v>58</v>
      </c>
      <c r="E44" s="203">
        <v>1</v>
      </c>
      <c r="F44" s="204">
        <v>1300</v>
      </c>
      <c r="G44" s="199">
        <v>550</v>
      </c>
      <c r="H44" s="199">
        <v>200</v>
      </c>
      <c r="I44" s="205">
        <f>+G44/F44</f>
        <v>0.42307692307692307</v>
      </c>
      <c r="J44" s="205">
        <f>+H44/F44</f>
        <v>0.15384615384615385</v>
      </c>
      <c r="K44" s="205">
        <f>+(G44/F44)*E44</f>
        <v>0.42307692307692307</v>
      </c>
      <c r="L44" s="205">
        <f t="shared" ref="L44" si="45">+(H44/F44)*E44</f>
        <v>0.15384615384615385</v>
      </c>
      <c r="M44" s="199">
        <v>579</v>
      </c>
      <c r="N44" s="595">
        <v>0</v>
      </c>
      <c r="O44" s="595">
        <v>40</v>
      </c>
      <c r="P44" s="595">
        <v>55</v>
      </c>
      <c r="Q44" s="595">
        <v>200</v>
      </c>
      <c r="R44" s="595">
        <v>248</v>
      </c>
      <c r="S44" s="199">
        <f>+N44+O44+P44+Q44+R44</f>
        <v>543</v>
      </c>
      <c r="T44" s="199">
        <f>+S44+M44</f>
        <v>1122</v>
      </c>
      <c r="U44" s="223">
        <v>1</v>
      </c>
      <c r="V44" s="223">
        <v>1</v>
      </c>
      <c r="W44" s="223">
        <f>+U44*E44</f>
        <v>1</v>
      </c>
      <c r="X44" s="223">
        <f t="shared" si="43"/>
        <v>1</v>
      </c>
      <c r="Y44" s="223">
        <f>+M44/F44</f>
        <v>0.44538461538461538</v>
      </c>
      <c r="Z44" s="223">
        <f t="shared" ref="Z44" si="46">+T44/F44</f>
        <v>0.86307692307692307</v>
      </c>
      <c r="AA44" s="223">
        <f>+Y44*E44</f>
        <v>0.44538461538461538</v>
      </c>
      <c r="AB44" s="223">
        <f>+Z44*E44</f>
        <v>0.86307692307692307</v>
      </c>
      <c r="AC44" s="663"/>
      <c r="AD44" s="1100" t="s">
        <v>1893</v>
      </c>
      <c r="AE44" s="1100" t="s">
        <v>2275</v>
      </c>
      <c r="AF44" s="1100" t="s">
        <v>2296</v>
      </c>
      <c r="AG44" s="1100" t="s">
        <v>2412</v>
      </c>
      <c r="AH44" s="1211" t="s">
        <v>2447</v>
      </c>
      <c r="AI44" s="662" t="s">
        <v>2564</v>
      </c>
      <c r="AJ44" s="186"/>
      <c r="AK44" s="180"/>
      <c r="AL44" s="180"/>
      <c r="AM44" s="180"/>
      <c r="AN44" s="180"/>
      <c r="AO44" s="180"/>
      <c r="AP44" s="180"/>
      <c r="AQ44" s="180"/>
      <c r="AR44" s="180"/>
      <c r="AS44" s="180"/>
      <c r="AT44" s="180"/>
      <c r="AU44" s="180"/>
      <c r="AV44" s="180"/>
      <c r="AW44" s="180"/>
      <c r="AX44" s="180"/>
      <c r="AY44" s="180"/>
      <c r="AZ44" s="180"/>
      <c r="BA44" s="180"/>
      <c r="BB44" s="180"/>
      <c r="BC44" s="180"/>
    </row>
    <row r="45" spans="1:55" ht="189" customHeight="1" thickBot="1" x14ac:dyDescent="0.4">
      <c r="A45" s="184"/>
      <c r="B45" s="1323" t="s">
        <v>1792</v>
      </c>
      <c r="C45" s="1320"/>
      <c r="D45" s="214"/>
      <c r="E45" s="187">
        <v>0.2</v>
      </c>
      <c r="F45" s="188">
        <f>+E45*W45</f>
        <v>8.5500000000000007E-2</v>
      </c>
      <c r="G45" s="192"/>
      <c r="H45" s="188">
        <f>+E45*X45</f>
        <v>0.165075</v>
      </c>
      <c r="I45" s="190">
        <f>+(I46+I54+I59+I64)/3</f>
        <v>0.15416666666666667</v>
      </c>
      <c r="J45" s="596">
        <f>+(J46+J54+J59+J64)/4</f>
        <v>0.28135416666666668</v>
      </c>
      <c r="K45" s="191">
        <f>+(K46+K54+K59+K64)/4</f>
        <v>5.2656250000000002E-2</v>
      </c>
      <c r="L45" s="191">
        <f>+(L46+L54+L59+L64)/4</f>
        <v>0.28637500000000005</v>
      </c>
      <c r="M45" s="192"/>
      <c r="N45" s="192"/>
      <c r="O45" s="192"/>
      <c r="P45" s="192"/>
      <c r="Q45" s="192"/>
      <c r="R45" s="1209"/>
      <c r="S45" s="1181"/>
      <c r="T45" s="192"/>
      <c r="U45" s="190">
        <f>+(U46+U54+U59+U64)/3</f>
        <v>1</v>
      </c>
      <c r="V45" s="596">
        <f>+(V46+V54+V59+V64)/4</f>
        <v>0.68520833333333331</v>
      </c>
      <c r="W45" s="191">
        <f>W46+W54+W59+W64</f>
        <v>0.42749999999999999</v>
      </c>
      <c r="X45" s="191">
        <f>X46+X54+X59+X64</f>
        <v>0.82537499999999997</v>
      </c>
      <c r="Y45" s="190">
        <f>(Y46+Y54+Y59+Y64)/3</f>
        <v>0.17056250000000003</v>
      </c>
      <c r="Z45" s="190">
        <f>(Z46+Z54+Z59+Z64)/4</f>
        <v>0.39236458333333335</v>
      </c>
      <c r="AA45" s="191">
        <f>AA46+AA54+AA59+AA64</f>
        <v>0.11891499999999999</v>
      </c>
      <c r="AB45" s="191">
        <f>(AB46*E46)+(AB54*E54)+(AB59*E59)+(AB64*E64)</f>
        <v>0.48483416666666668</v>
      </c>
      <c r="AC45" s="663"/>
      <c r="AD45" s="663"/>
      <c r="AE45" s="192"/>
      <c r="AF45" s="192"/>
      <c r="AG45" s="192"/>
      <c r="AH45" s="192"/>
      <c r="AI45" s="1212"/>
      <c r="AJ45" s="180"/>
      <c r="AK45" s="180"/>
      <c r="AL45" s="180"/>
      <c r="AM45" s="180"/>
      <c r="AN45" s="180"/>
      <c r="AO45" s="180"/>
      <c r="AP45" s="180"/>
      <c r="AQ45" s="180"/>
      <c r="AR45" s="180"/>
      <c r="AS45" s="180"/>
      <c r="AT45" s="180"/>
      <c r="AU45" s="180"/>
      <c r="AV45" s="180"/>
      <c r="AW45" s="180"/>
      <c r="AX45" s="180"/>
      <c r="AY45" s="180"/>
      <c r="AZ45" s="180"/>
      <c r="BA45" s="180"/>
      <c r="BB45" s="180"/>
      <c r="BC45" s="180"/>
    </row>
    <row r="46" spans="1:55" ht="149.4" customHeight="1" thickBot="1" x14ac:dyDescent="0.4">
      <c r="A46" s="184"/>
      <c r="B46" s="1319" t="s">
        <v>1709</v>
      </c>
      <c r="C46" s="1320"/>
      <c r="D46" s="214"/>
      <c r="E46" s="195">
        <v>0.25</v>
      </c>
      <c r="F46" s="216"/>
      <c r="G46" s="192"/>
      <c r="H46" s="192"/>
      <c r="I46" s="198">
        <f>+AVERAGE(I47:I53)</f>
        <v>0.21249999999999999</v>
      </c>
      <c r="J46" s="198">
        <f>+AVERAGE(J47:J53)</f>
        <v>0.32916666666666666</v>
      </c>
      <c r="K46" s="198">
        <f>+K47+K48+K49+K50+K51+K52+K53</f>
        <v>7.8125E-2</v>
      </c>
      <c r="L46" s="198">
        <f>+L47+L48+L49+L50+L51+L52+L53</f>
        <v>0.27500000000000002</v>
      </c>
      <c r="M46" s="197"/>
      <c r="N46" s="197"/>
      <c r="O46" s="197"/>
      <c r="P46" s="197"/>
      <c r="Q46" s="197"/>
      <c r="R46" s="1210"/>
      <c r="S46" s="199"/>
      <c r="T46" s="197"/>
      <c r="U46" s="221">
        <f>+AVERAGE(U47:U53)</f>
        <v>1</v>
      </c>
      <c r="V46" s="221">
        <f>+AVERAGE(V47:V53)</f>
        <v>0.77833333333333332</v>
      </c>
      <c r="W46" s="221">
        <f>+(W47+W48+W49+W50+W51+W52+W53)*E46</f>
        <v>8.7499999999999994E-2</v>
      </c>
      <c r="X46" s="221">
        <f>+(X47+X48+X49+X50+X51+X52+X53)*E46</f>
        <v>0.19337500000000002</v>
      </c>
      <c r="Y46" s="198">
        <f>+AVERAGE(Y47:Y53)</f>
        <v>0.16250000000000001</v>
      </c>
      <c r="Z46" s="198">
        <f>+AVERAGE(Z47:Z53)</f>
        <v>0.3838333333333333</v>
      </c>
      <c r="AA46" s="198">
        <f>+(AA47+AA48+AA49+AA50+AA51+AA52+AA53)*E46</f>
        <v>1.6406250000000001E-2</v>
      </c>
      <c r="AB46" s="198">
        <f>+(AB47+AB48+AB49+AB50+AB51+AB52+AB53)</f>
        <v>0.34800000000000003</v>
      </c>
      <c r="AC46" s="663"/>
      <c r="AD46" s="192"/>
      <c r="AE46" s="192"/>
      <c r="AF46" s="192"/>
      <c r="AG46" s="192"/>
      <c r="AH46" s="192"/>
      <c r="AI46" s="186"/>
      <c r="AJ46" s="180"/>
      <c r="AK46" s="180"/>
      <c r="AL46" s="180"/>
      <c r="AM46" s="180"/>
      <c r="AN46" s="180"/>
      <c r="AO46" s="180"/>
      <c r="AP46" s="180"/>
      <c r="AQ46" s="180"/>
      <c r="AR46" s="180"/>
      <c r="AS46" s="180"/>
      <c r="AT46" s="180"/>
      <c r="AU46" s="180"/>
      <c r="AV46" s="180"/>
      <c r="AW46" s="180"/>
      <c r="AX46" s="180"/>
      <c r="AY46" s="180"/>
      <c r="AZ46" s="180"/>
      <c r="BA46" s="180"/>
      <c r="BB46" s="180"/>
      <c r="BC46" s="180"/>
    </row>
    <row r="47" spans="1:55" ht="72" customHeight="1" thickBot="1" x14ac:dyDescent="0.4">
      <c r="A47" s="184"/>
      <c r="B47" s="930" t="s">
        <v>715</v>
      </c>
      <c r="C47" s="934" t="s">
        <v>1419</v>
      </c>
      <c r="D47" s="218" t="s">
        <v>683</v>
      </c>
      <c r="E47" s="219">
        <v>0.05</v>
      </c>
      <c r="F47" s="204">
        <v>4</v>
      </c>
      <c r="G47" s="199">
        <v>1</v>
      </c>
      <c r="H47" s="199">
        <v>2</v>
      </c>
      <c r="I47" s="205">
        <f>+G47/F47</f>
        <v>0.25</v>
      </c>
      <c r="J47" s="205">
        <f t="shared" ref="J47:J66" si="47">+H47/F47</f>
        <v>0.5</v>
      </c>
      <c r="K47" s="205">
        <f>+(G47/F47)*E47</f>
        <v>1.2500000000000001E-2</v>
      </c>
      <c r="L47" s="205">
        <f t="shared" ref="L47:L66" si="48">+(H47/F47)*E47</f>
        <v>2.5000000000000001E-2</v>
      </c>
      <c r="M47" s="199">
        <v>0</v>
      </c>
      <c r="N47" s="595">
        <v>0</v>
      </c>
      <c r="O47" s="595">
        <v>0</v>
      </c>
      <c r="P47" s="595">
        <v>0.25</v>
      </c>
      <c r="Q47" s="595">
        <v>0.75</v>
      </c>
      <c r="R47" s="595">
        <v>0</v>
      </c>
      <c r="S47" s="199">
        <f t="shared" si="36"/>
        <v>1</v>
      </c>
      <c r="T47" s="199">
        <f t="shared" ref="T47:T53" si="49">+S47+M47</f>
        <v>1</v>
      </c>
      <c r="U47" s="223">
        <v>1</v>
      </c>
      <c r="V47" s="223">
        <f t="shared" ref="V47:V52" si="50">+S47/H47</f>
        <v>0.5</v>
      </c>
      <c r="W47" s="223">
        <f>+U47*E47</f>
        <v>0.05</v>
      </c>
      <c r="X47" s="223">
        <f t="shared" ref="X47:X52" si="51">+V47*E47</f>
        <v>2.5000000000000001E-2</v>
      </c>
      <c r="Y47" s="223">
        <f>+M47/F47</f>
        <v>0</v>
      </c>
      <c r="Z47" s="223">
        <f t="shared" ref="Z47:Z63" si="52">+T47/F47</f>
        <v>0.25</v>
      </c>
      <c r="AA47" s="223">
        <f t="shared" ref="AA47:AA52" si="53">+Y47*E47</f>
        <v>0</v>
      </c>
      <c r="AB47" s="223">
        <f>+Z47*E47</f>
        <v>1.2500000000000001E-2</v>
      </c>
      <c r="AC47" s="636" t="s">
        <v>1850</v>
      </c>
      <c r="AD47" s="719" t="s">
        <v>1899</v>
      </c>
      <c r="AE47" s="1100" t="s">
        <v>2275</v>
      </c>
      <c r="AF47" s="1100" t="s">
        <v>2296</v>
      </c>
      <c r="AG47" s="719" t="s">
        <v>1865</v>
      </c>
      <c r="AH47" s="1100" t="s">
        <v>2447</v>
      </c>
      <c r="AI47" s="719" t="s">
        <v>2583</v>
      </c>
      <c r="AJ47" s="180"/>
      <c r="AK47" s="180"/>
      <c r="AL47" s="180"/>
      <c r="AM47" s="180"/>
      <c r="AN47" s="180"/>
      <c r="AO47" s="180"/>
      <c r="AP47" s="180"/>
      <c r="AQ47" s="180"/>
      <c r="AR47" s="180"/>
      <c r="AS47" s="180"/>
      <c r="AT47" s="180"/>
      <c r="AU47" s="180"/>
      <c r="AV47" s="180"/>
      <c r="AW47" s="180"/>
      <c r="AX47" s="180"/>
      <c r="AY47" s="180"/>
      <c r="AZ47" s="180"/>
      <c r="BA47" s="180"/>
      <c r="BB47" s="180"/>
      <c r="BC47" s="180"/>
    </row>
    <row r="48" spans="1:55" ht="52.2" customHeight="1" thickBot="1" x14ac:dyDescent="0.4">
      <c r="A48" s="184"/>
      <c r="B48" s="930" t="s">
        <v>716</v>
      </c>
      <c r="C48" s="934" t="s">
        <v>1420</v>
      </c>
      <c r="D48" s="214" t="s">
        <v>683</v>
      </c>
      <c r="E48" s="203">
        <v>0.1</v>
      </c>
      <c r="F48" s="204">
        <v>4</v>
      </c>
      <c r="G48" s="199">
        <v>1</v>
      </c>
      <c r="H48" s="935">
        <v>0.5</v>
      </c>
      <c r="I48" s="205">
        <f>+G48/F48</f>
        <v>0.25</v>
      </c>
      <c r="J48" s="205">
        <f t="shared" si="47"/>
        <v>0.125</v>
      </c>
      <c r="K48" s="205">
        <f>+(G48/F48)*E48</f>
        <v>2.5000000000000001E-2</v>
      </c>
      <c r="L48" s="205">
        <f t="shared" si="48"/>
        <v>1.2500000000000001E-2</v>
      </c>
      <c r="M48" s="199">
        <v>1</v>
      </c>
      <c r="N48" s="595">
        <v>0</v>
      </c>
      <c r="O48" s="595">
        <v>0.3</v>
      </c>
      <c r="P48" s="595">
        <v>0.1</v>
      </c>
      <c r="Q48" s="199"/>
      <c r="R48" s="935"/>
      <c r="S48" s="199">
        <f t="shared" si="36"/>
        <v>0.4</v>
      </c>
      <c r="T48" s="199">
        <f t="shared" si="49"/>
        <v>1.4</v>
      </c>
      <c r="U48" s="223">
        <v>1</v>
      </c>
      <c r="V48" s="223">
        <f t="shared" si="50"/>
        <v>0.8</v>
      </c>
      <c r="W48" s="223">
        <f>+U48*E48</f>
        <v>0.1</v>
      </c>
      <c r="X48" s="223">
        <f t="shared" si="51"/>
        <v>8.0000000000000016E-2</v>
      </c>
      <c r="Y48" s="223">
        <f>+M48/F48</f>
        <v>0.25</v>
      </c>
      <c r="Z48" s="223">
        <f t="shared" si="52"/>
        <v>0.35</v>
      </c>
      <c r="AA48" s="223">
        <f t="shared" si="53"/>
        <v>2.5000000000000001E-2</v>
      </c>
      <c r="AB48" s="223">
        <f>+Z48*E48</f>
        <v>3.4999999999999996E-2</v>
      </c>
      <c r="AC48" s="636" t="s">
        <v>1850</v>
      </c>
      <c r="AD48" s="642" t="s">
        <v>1893</v>
      </c>
      <c r="AE48" s="1100" t="s">
        <v>2275</v>
      </c>
      <c r="AF48" s="1100" t="s">
        <v>2296</v>
      </c>
      <c r="AG48" s="1100" t="s">
        <v>2412</v>
      </c>
      <c r="AH48" s="719" t="s">
        <v>1865</v>
      </c>
      <c r="AI48" s="719" t="s">
        <v>2584</v>
      </c>
      <c r="AJ48" s="180"/>
      <c r="AK48" s="180"/>
      <c r="AL48" s="180"/>
      <c r="AM48" s="180"/>
      <c r="AN48" s="180"/>
      <c r="AO48" s="180"/>
      <c r="AP48" s="180"/>
      <c r="AQ48" s="180"/>
      <c r="AR48" s="180"/>
      <c r="AS48" s="180"/>
      <c r="AT48" s="180"/>
      <c r="AU48" s="180"/>
      <c r="AV48" s="180"/>
      <c r="AW48" s="180"/>
      <c r="AX48" s="180"/>
      <c r="AY48" s="180"/>
      <c r="AZ48" s="180"/>
      <c r="BA48" s="180"/>
      <c r="BB48" s="180"/>
      <c r="BC48" s="180"/>
    </row>
    <row r="49" spans="1:55" ht="89.4" customHeight="1" thickBot="1" x14ac:dyDescent="0.4">
      <c r="A49" s="184"/>
      <c r="B49" s="930" t="s">
        <v>717</v>
      </c>
      <c r="C49" s="934" t="s">
        <v>1421</v>
      </c>
      <c r="D49" s="214" t="s">
        <v>683</v>
      </c>
      <c r="E49" s="203">
        <v>0.1</v>
      </c>
      <c r="F49" s="204">
        <v>4</v>
      </c>
      <c r="G49" s="199">
        <v>1</v>
      </c>
      <c r="H49" s="199">
        <v>1</v>
      </c>
      <c r="I49" s="205">
        <f>+G49/F49</f>
        <v>0.25</v>
      </c>
      <c r="J49" s="205">
        <f t="shared" si="47"/>
        <v>0.25</v>
      </c>
      <c r="K49" s="205">
        <f>+(G49/F49)*E49</f>
        <v>2.5000000000000001E-2</v>
      </c>
      <c r="L49" s="205">
        <f t="shared" si="48"/>
        <v>2.5000000000000001E-2</v>
      </c>
      <c r="M49" s="199">
        <v>1</v>
      </c>
      <c r="N49" s="595">
        <v>0</v>
      </c>
      <c r="O49" s="595">
        <v>0.3</v>
      </c>
      <c r="P49" s="595">
        <v>0.7</v>
      </c>
      <c r="Q49" s="199"/>
      <c r="R49" s="935"/>
      <c r="S49" s="199">
        <f t="shared" si="36"/>
        <v>1</v>
      </c>
      <c r="T49" s="199">
        <f t="shared" si="49"/>
        <v>2</v>
      </c>
      <c r="U49" s="223">
        <v>1</v>
      </c>
      <c r="V49" s="223">
        <v>1</v>
      </c>
      <c r="W49" s="223">
        <f>+U49*E49</f>
        <v>0.1</v>
      </c>
      <c r="X49" s="223">
        <f t="shared" si="51"/>
        <v>0.1</v>
      </c>
      <c r="Y49" s="223">
        <f>+M49/F49</f>
        <v>0.25</v>
      </c>
      <c r="Z49" s="223">
        <f t="shared" si="52"/>
        <v>0.5</v>
      </c>
      <c r="AA49" s="223">
        <f t="shared" si="53"/>
        <v>2.5000000000000001E-2</v>
      </c>
      <c r="AB49" s="223">
        <f>+Z49*E49</f>
        <v>0.05</v>
      </c>
      <c r="AC49" s="636" t="s">
        <v>1850</v>
      </c>
      <c r="AD49" s="1100" t="s">
        <v>1893</v>
      </c>
      <c r="AE49" s="1100" t="s">
        <v>2275</v>
      </c>
      <c r="AF49" s="1100" t="s">
        <v>2296</v>
      </c>
      <c r="AG49" s="1100" t="s">
        <v>2412</v>
      </c>
      <c r="AH49" s="719" t="s">
        <v>1865</v>
      </c>
      <c r="AI49" s="719" t="s">
        <v>2585</v>
      </c>
      <c r="AJ49" s="180"/>
      <c r="AK49" s="180"/>
      <c r="AL49" s="180"/>
      <c r="AM49" s="180"/>
      <c r="AN49" s="180"/>
      <c r="AO49" s="180"/>
      <c r="AP49" s="180"/>
      <c r="AQ49" s="180"/>
      <c r="AR49" s="180"/>
      <c r="AS49" s="180"/>
      <c r="AT49" s="180"/>
      <c r="AU49" s="180"/>
      <c r="AV49" s="180"/>
      <c r="AW49" s="180"/>
      <c r="AX49" s="180"/>
      <c r="AY49" s="180"/>
      <c r="AZ49" s="180"/>
      <c r="BA49" s="180"/>
      <c r="BB49" s="180"/>
      <c r="BC49" s="180"/>
    </row>
    <row r="50" spans="1:55" ht="82.95" customHeight="1" thickBot="1" x14ac:dyDescent="0.4">
      <c r="A50" s="184"/>
      <c r="B50" s="1001" t="s">
        <v>718</v>
      </c>
      <c r="C50" s="1002" t="s">
        <v>1422</v>
      </c>
      <c r="D50" s="218" t="s">
        <v>683</v>
      </c>
      <c r="E50" s="219">
        <v>0.5</v>
      </c>
      <c r="F50" s="204">
        <v>2000</v>
      </c>
      <c r="G50" s="199">
        <v>0</v>
      </c>
      <c r="H50" s="199">
        <v>700</v>
      </c>
      <c r="I50" s="205"/>
      <c r="J50" s="205">
        <f t="shared" si="47"/>
        <v>0.35</v>
      </c>
      <c r="K50" s="205"/>
      <c r="L50" s="205">
        <f t="shared" si="48"/>
        <v>0.17499999999999999</v>
      </c>
      <c r="M50" s="199"/>
      <c r="N50" s="595">
        <v>0</v>
      </c>
      <c r="O50" s="595">
        <v>0</v>
      </c>
      <c r="P50" s="595">
        <v>723</v>
      </c>
      <c r="Q50" s="595">
        <v>123</v>
      </c>
      <c r="R50" s="595">
        <v>0</v>
      </c>
      <c r="S50" s="199">
        <f t="shared" si="36"/>
        <v>846</v>
      </c>
      <c r="T50" s="199">
        <f t="shared" si="49"/>
        <v>846</v>
      </c>
      <c r="U50" s="223"/>
      <c r="V50" s="223">
        <v>1</v>
      </c>
      <c r="W50" s="223"/>
      <c r="X50" s="223">
        <f t="shared" si="51"/>
        <v>0.5</v>
      </c>
      <c r="Y50" s="223"/>
      <c r="Z50" s="223">
        <f t="shared" si="52"/>
        <v>0.42299999999999999</v>
      </c>
      <c r="AA50" s="223">
        <f t="shared" si="53"/>
        <v>0</v>
      </c>
      <c r="AB50" s="223">
        <f t="shared" ref="AB50:AB53" si="54">+Z50*E50</f>
        <v>0.21149999999999999</v>
      </c>
      <c r="AC50" s="636" t="s">
        <v>1850</v>
      </c>
      <c r="AD50" s="618" t="s">
        <v>1899</v>
      </c>
      <c r="AE50" s="1100" t="s">
        <v>2275</v>
      </c>
      <c r="AF50" s="1100" t="s">
        <v>2296</v>
      </c>
      <c r="AG50" s="1100" t="s">
        <v>2412</v>
      </c>
      <c r="AH50" s="1100" t="s">
        <v>2447</v>
      </c>
      <c r="AI50" s="1100" t="s">
        <v>2564</v>
      </c>
      <c r="AJ50" s="180"/>
      <c r="AK50" s="180"/>
      <c r="AL50" s="180"/>
      <c r="AM50" s="180"/>
      <c r="AN50" s="180"/>
      <c r="AO50" s="180"/>
      <c r="AP50" s="180"/>
      <c r="AQ50" s="180"/>
      <c r="AR50" s="180"/>
      <c r="AS50" s="180"/>
      <c r="AT50" s="180"/>
      <c r="AU50" s="180"/>
      <c r="AV50" s="180"/>
      <c r="AW50" s="180"/>
      <c r="AX50" s="180"/>
      <c r="AY50" s="180"/>
      <c r="AZ50" s="180"/>
      <c r="BA50" s="180"/>
      <c r="BB50" s="180"/>
      <c r="BC50" s="180"/>
    </row>
    <row r="51" spans="1:55" ht="98.4" customHeight="1" thickBot="1" x14ac:dyDescent="0.4">
      <c r="A51" s="184"/>
      <c r="B51" s="930" t="s">
        <v>719</v>
      </c>
      <c r="C51" s="934" t="s">
        <v>1423</v>
      </c>
      <c r="D51" s="222" t="s">
        <v>720</v>
      </c>
      <c r="E51" s="203">
        <v>0.05</v>
      </c>
      <c r="F51" s="204">
        <v>4</v>
      </c>
      <c r="G51" s="199">
        <v>1</v>
      </c>
      <c r="H51" s="199">
        <v>2</v>
      </c>
      <c r="I51" s="205">
        <f>+G51/F51</f>
        <v>0.25</v>
      </c>
      <c r="J51" s="205">
        <f t="shared" si="47"/>
        <v>0.5</v>
      </c>
      <c r="K51" s="205">
        <f>+(G51/F51)*E51</f>
        <v>1.2500000000000001E-2</v>
      </c>
      <c r="L51" s="205">
        <f t="shared" si="48"/>
        <v>2.5000000000000001E-2</v>
      </c>
      <c r="M51" s="199">
        <v>1</v>
      </c>
      <c r="N51" s="595">
        <v>0</v>
      </c>
      <c r="O51" s="595">
        <v>1</v>
      </c>
      <c r="P51" s="595"/>
      <c r="Q51" s="199"/>
      <c r="R51" s="935"/>
      <c r="S51" s="199">
        <f t="shared" si="36"/>
        <v>1</v>
      </c>
      <c r="T51" s="199">
        <f t="shared" si="49"/>
        <v>2</v>
      </c>
      <c r="U51" s="223">
        <v>1</v>
      </c>
      <c r="V51" s="223">
        <f t="shared" si="50"/>
        <v>0.5</v>
      </c>
      <c r="W51" s="223">
        <f>+U51*E51</f>
        <v>0.05</v>
      </c>
      <c r="X51" s="223">
        <f t="shared" si="51"/>
        <v>2.5000000000000001E-2</v>
      </c>
      <c r="Y51" s="223">
        <f>+M51/F51</f>
        <v>0.25</v>
      </c>
      <c r="Z51" s="223">
        <f t="shared" si="52"/>
        <v>0.5</v>
      </c>
      <c r="AA51" s="223">
        <f t="shared" si="53"/>
        <v>1.2500000000000001E-2</v>
      </c>
      <c r="AB51" s="223">
        <f t="shared" si="54"/>
        <v>2.5000000000000001E-2</v>
      </c>
      <c r="AC51" s="636" t="s">
        <v>1850</v>
      </c>
      <c r="AD51" s="1100" t="s">
        <v>1893</v>
      </c>
      <c r="AE51" s="1100" t="s">
        <v>2275</v>
      </c>
      <c r="AF51" s="1100" t="s">
        <v>2341</v>
      </c>
      <c r="AG51" s="719" t="s">
        <v>1865</v>
      </c>
      <c r="AH51" s="719" t="s">
        <v>1865</v>
      </c>
      <c r="AI51" s="719" t="s">
        <v>2586</v>
      </c>
      <c r="AJ51" s="180"/>
      <c r="AK51" s="180"/>
      <c r="AL51" s="180"/>
      <c r="AM51" s="180"/>
      <c r="AN51" s="180"/>
      <c r="AO51" s="180"/>
      <c r="AP51" s="180"/>
      <c r="AQ51" s="180"/>
      <c r="AR51" s="180"/>
      <c r="AS51" s="180"/>
      <c r="AT51" s="180"/>
      <c r="AU51" s="180"/>
      <c r="AV51" s="180"/>
      <c r="AW51" s="180"/>
      <c r="AX51" s="180"/>
      <c r="AY51" s="180"/>
      <c r="AZ51" s="180"/>
      <c r="BA51" s="180"/>
      <c r="BB51" s="180"/>
      <c r="BC51" s="180"/>
    </row>
    <row r="52" spans="1:55" ht="112.8" customHeight="1" thickBot="1" x14ac:dyDescent="0.4">
      <c r="A52" s="184"/>
      <c r="B52" s="1001" t="s">
        <v>721</v>
      </c>
      <c r="C52" s="1002" t="s">
        <v>1424</v>
      </c>
      <c r="D52" s="214" t="s">
        <v>683</v>
      </c>
      <c r="E52" s="203">
        <v>0.05</v>
      </c>
      <c r="F52" s="204">
        <v>4</v>
      </c>
      <c r="G52" s="199">
        <v>0.25</v>
      </c>
      <c r="H52" s="199">
        <v>1</v>
      </c>
      <c r="I52" s="205">
        <f>+G52/F52</f>
        <v>6.25E-2</v>
      </c>
      <c r="J52" s="205">
        <f t="shared" si="47"/>
        <v>0.25</v>
      </c>
      <c r="K52" s="205">
        <f>+(G52/F52)*E52</f>
        <v>3.1250000000000002E-3</v>
      </c>
      <c r="L52" s="205">
        <f t="shared" si="48"/>
        <v>1.2500000000000001E-2</v>
      </c>
      <c r="M52" s="199">
        <v>0.25</v>
      </c>
      <c r="N52" s="595">
        <v>0.25</v>
      </c>
      <c r="O52" s="595">
        <v>0.25</v>
      </c>
      <c r="P52" s="595">
        <v>0.25</v>
      </c>
      <c r="Q52" s="595">
        <v>0.12</v>
      </c>
      <c r="R52" s="595">
        <v>0</v>
      </c>
      <c r="S52" s="199">
        <f t="shared" si="36"/>
        <v>0.87</v>
      </c>
      <c r="T52" s="199">
        <f t="shared" si="49"/>
        <v>1.1200000000000001</v>
      </c>
      <c r="U52" s="223">
        <f>+(M52/G52)</f>
        <v>1</v>
      </c>
      <c r="V52" s="223">
        <f t="shared" si="50"/>
        <v>0.87</v>
      </c>
      <c r="W52" s="223">
        <f>+U52*E52</f>
        <v>0.05</v>
      </c>
      <c r="X52" s="223">
        <f t="shared" si="51"/>
        <v>4.3500000000000004E-2</v>
      </c>
      <c r="Y52" s="223">
        <f>+M52/F52</f>
        <v>6.25E-2</v>
      </c>
      <c r="Z52" s="223">
        <f t="shared" si="52"/>
        <v>0.28000000000000003</v>
      </c>
      <c r="AA52" s="223">
        <f t="shared" si="53"/>
        <v>3.1250000000000002E-3</v>
      </c>
      <c r="AB52" s="223">
        <f t="shared" si="54"/>
        <v>1.4000000000000002E-2</v>
      </c>
      <c r="AC52" s="636" t="s">
        <v>1850</v>
      </c>
      <c r="AD52" s="1100" t="s">
        <v>1893</v>
      </c>
      <c r="AE52" s="1100" t="s">
        <v>2275</v>
      </c>
      <c r="AF52" s="1100" t="s">
        <v>2342</v>
      </c>
      <c r="AG52" s="719" t="s">
        <v>1865</v>
      </c>
      <c r="AH52" s="719" t="s">
        <v>1865</v>
      </c>
      <c r="AI52" s="1100" t="s">
        <v>2564</v>
      </c>
      <c r="AJ52" s="180"/>
      <c r="AK52" s="180"/>
      <c r="AL52" s="180"/>
      <c r="AM52" s="180"/>
      <c r="AN52" s="180"/>
      <c r="AO52" s="180"/>
      <c r="AP52" s="180"/>
      <c r="AQ52" s="180"/>
      <c r="AR52" s="180"/>
      <c r="AS52" s="180"/>
      <c r="AT52" s="180"/>
      <c r="AU52" s="180"/>
      <c r="AV52" s="180"/>
      <c r="AW52" s="180"/>
      <c r="AX52" s="180"/>
      <c r="AY52" s="180"/>
      <c r="AZ52" s="180"/>
      <c r="BA52" s="180"/>
      <c r="BB52" s="180"/>
      <c r="BC52" s="180"/>
    </row>
    <row r="53" spans="1:55" ht="73.95" customHeight="1" thickBot="1" x14ac:dyDescent="0.4">
      <c r="A53" s="184"/>
      <c r="B53" s="1001" t="s">
        <v>722</v>
      </c>
      <c r="C53" s="1002" t="s">
        <v>1425</v>
      </c>
      <c r="D53" s="224" t="s">
        <v>723</v>
      </c>
      <c r="E53" s="203">
        <v>0.15</v>
      </c>
      <c r="F53" s="204">
        <v>2</v>
      </c>
      <c r="G53" s="199">
        <v>0</v>
      </c>
      <c r="H53" s="199">
        <v>0</v>
      </c>
      <c r="I53" s="205"/>
      <c r="J53" s="205"/>
      <c r="K53" s="205"/>
      <c r="L53" s="205"/>
      <c r="M53" s="199"/>
      <c r="N53" s="595"/>
      <c r="O53" s="595"/>
      <c r="P53" s="595"/>
      <c r="Q53" s="595"/>
      <c r="R53" s="595"/>
      <c r="S53" s="199">
        <f t="shared" si="36"/>
        <v>0</v>
      </c>
      <c r="T53" s="199">
        <f t="shared" si="49"/>
        <v>0</v>
      </c>
      <c r="U53" s="223"/>
      <c r="V53" s="223"/>
      <c r="W53" s="223"/>
      <c r="X53" s="223"/>
      <c r="Y53" s="223"/>
      <c r="Z53" s="223"/>
      <c r="AA53" s="223"/>
      <c r="AB53" s="223">
        <f t="shared" si="54"/>
        <v>0</v>
      </c>
      <c r="AC53" s="636" t="s">
        <v>1850</v>
      </c>
      <c r="AD53" s="1100" t="s">
        <v>1893</v>
      </c>
      <c r="AE53" s="1100" t="s">
        <v>2275</v>
      </c>
      <c r="AF53" s="1100" t="s">
        <v>2296</v>
      </c>
      <c r="AG53" s="1100" t="s">
        <v>2412</v>
      </c>
      <c r="AH53" s="1100" t="s">
        <v>2447</v>
      </c>
      <c r="AI53" s="1100" t="s">
        <v>2564</v>
      </c>
      <c r="AJ53" s="180"/>
      <c r="AK53" s="180"/>
      <c r="AL53" s="180"/>
      <c r="AM53" s="180"/>
      <c r="AN53" s="180"/>
      <c r="AO53" s="180"/>
      <c r="AP53" s="180"/>
      <c r="AQ53" s="180"/>
      <c r="AR53" s="180"/>
      <c r="AS53" s="180"/>
      <c r="AT53" s="180"/>
      <c r="AU53" s="180"/>
      <c r="AV53" s="180"/>
      <c r="AW53" s="180"/>
      <c r="AX53" s="180"/>
      <c r="AY53" s="180"/>
      <c r="AZ53" s="180"/>
      <c r="BA53" s="180"/>
      <c r="BB53" s="180"/>
      <c r="BC53" s="180"/>
    </row>
    <row r="54" spans="1:55" ht="100.5" customHeight="1" thickBot="1" x14ac:dyDescent="0.4">
      <c r="A54" s="184"/>
      <c r="B54" s="1319" t="s">
        <v>1793</v>
      </c>
      <c r="C54" s="1320"/>
      <c r="D54" s="225"/>
      <c r="E54" s="195">
        <v>0.35</v>
      </c>
      <c r="F54" s="216"/>
      <c r="G54" s="199"/>
      <c r="H54" s="199"/>
      <c r="I54" s="198">
        <f>+AVERAGE(I55:I58)</f>
        <v>0.125</v>
      </c>
      <c r="J54" s="198">
        <f>+AVERAGE(J55:J58)</f>
        <v>0.34375</v>
      </c>
      <c r="K54" s="198">
        <f>+K55+K56+K57+K58</f>
        <v>6.25E-2</v>
      </c>
      <c r="L54" s="198">
        <f>+L55+L56+L57+L58</f>
        <v>0.36499999999999999</v>
      </c>
      <c r="M54" s="199"/>
      <c r="N54" s="199"/>
      <c r="O54" s="199"/>
      <c r="P54" s="199"/>
      <c r="Q54" s="199"/>
      <c r="R54" s="935"/>
      <c r="S54" s="199"/>
      <c r="T54" s="199"/>
      <c r="U54" s="221">
        <f>+AVERAGE(U55:U58)</f>
        <v>1</v>
      </c>
      <c r="V54" s="221">
        <f>+AVERAGE(V55:V58)</f>
        <v>1</v>
      </c>
      <c r="W54" s="221">
        <f>+(W55+W56+W57+W58)*E54</f>
        <v>0.17499999999999999</v>
      </c>
      <c r="X54" s="221">
        <f>+(X55+X56+X57+X58)*E54</f>
        <v>0.35</v>
      </c>
      <c r="Y54" s="198">
        <f>+AVERAGE(Y55:Y58)*0.25</f>
        <v>8.3687499999999998E-2</v>
      </c>
      <c r="Z54" s="198">
        <f>+AVERAGE(Z55:Z58)</f>
        <v>0.46825</v>
      </c>
      <c r="AA54" s="198">
        <f>+(AA55+AA56+AA57+AA58)*E54</f>
        <v>5.8581249999999994E-2</v>
      </c>
      <c r="AB54" s="198">
        <f>+(AB55+AB56+AB57+AB58)</f>
        <v>0.61399999999999999</v>
      </c>
      <c r="AC54" s="663"/>
      <c r="AD54" s="192"/>
      <c r="AE54" s="192"/>
      <c r="AF54" s="192"/>
      <c r="AG54" s="192"/>
      <c r="AH54" s="192"/>
      <c r="AI54" s="186"/>
      <c r="AJ54" s="180"/>
      <c r="AK54" s="180"/>
      <c r="AL54" s="180"/>
      <c r="AM54" s="180"/>
      <c r="AN54" s="180"/>
      <c r="AO54" s="180"/>
      <c r="AP54" s="180"/>
      <c r="AQ54" s="180"/>
      <c r="AR54" s="180"/>
      <c r="AS54" s="180"/>
      <c r="AT54" s="180"/>
      <c r="AU54" s="180"/>
      <c r="AV54" s="180"/>
      <c r="AW54" s="180"/>
      <c r="AX54" s="180"/>
      <c r="AY54" s="180"/>
      <c r="AZ54" s="180"/>
      <c r="BA54" s="180"/>
      <c r="BB54" s="180"/>
      <c r="BC54" s="180"/>
    </row>
    <row r="55" spans="1:55" ht="70.95" customHeight="1" thickBot="1" x14ac:dyDescent="0.4">
      <c r="A55" s="217"/>
      <c r="B55" s="1001" t="s">
        <v>724</v>
      </c>
      <c r="C55" s="1002" t="s">
        <v>1426</v>
      </c>
      <c r="D55" s="226" t="s">
        <v>58</v>
      </c>
      <c r="E55" s="203">
        <v>0.05</v>
      </c>
      <c r="F55" s="204">
        <v>1</v>
      </c>
      <c r="G55" s="199">
        <v>0</v>
      </c>
      <c r="H55" s="199">
        <v>0.3</v>
      </c>
      <c r="I55" s="205"/>
      <c r="J55" s="205">
        <f t="shared" si="47"/>
        <v>0.3</v>
      </c>
      <c r="K55" s="205"/>
      <c r="L55" s="205">
        <f t="shared" si="48"/>
        <v>1.4999999999999999E-2</v>
      </c>
      <c r="M55" s="199"/>
      <c r="N55" s="595">
        <v>0</v>
      </c>
      <c r="O55" s="595">
        <v>0</v>
      </c>
      <c r="P55" s="595">
        <v>0.2</v>
      </c>
      <c r="Q55" s="595">
        <v>0</v>
      </c>
      <c r="R55" s="595">
        <v>0.1</v>
      </c>
      <c r="S55" s="199">
        <f t="shared" si="36"/>
        <v>0.30000000000000004</v>
      </c>
      <c r="T55" s="199">
        <f t="shared" ref="T55:T58" si="55">+S55+M55</f>
        <v>0.30000000000000004</v>
      </c>
      <c r="U55" s="223"/>
      <c r="V55" s="223">
        <f t="shared" ref="V55:V58" si="56">+S55/H55</f>
        <v>1.0000000000000002</v>
      </c>
      <c r="W55" s="223"/>
      <c r="X55" s="223">
        <f t="shared" ref="X55:X58" si="57">+V55*E55</f>
        <v>5.0000000000000017E-2</v>
      </c>
      <c r="Y55" s="223"/>
      <c r="Z55" s="223">
        <f t="shared" si="52"/>
        <v>0.30000000000000004</v>
      </c>
      <c r="AA55" s="205"/>
      <c r="AB55" s="205">
        <f t="shared" ref="AB55:AB58" si="58">+Z55*E55</f>
        <v>1.5000000000000003E-2</v>
      </c>
      <c r="AC55" s="636" t="s">
        <v>1850</v>
      </c>
      <c r="AD55" s="1100" t="s">
        <v>1893</v>
      </c>
      <c r="AE55" s="1100" t="s">
        <v>2275</v>
      </c>
      <c r="AF55" s="1100" t="s">
        <v>2296</v>
      </c>
      <c r="AG55" s="1100" t="s">
        <v>2412</v>
      </c>
      <c r="AH55" s="1100" t="s">
        <v>2447</v>
      </c>
      <c r="AI55" s="1100" t="s">
        <v>2564</v>
      </c>
      <c r="AJ55" s="180"/>
      <c r="AK55" s="180"/>
      <c r="AL55" s="180"/>
      <c r="AM55" s="180"/>
      <c r="AN55" s="180"/>
      <c r="AO55" s="180"/>
      <c r="AP55" s="180"/>
      <c r="AQ55" s="180"/>
      <c r="AR55" s="180"/>
      <c r="AS55" s="180"/>
      <c r="AT55" s="180"/>
      <c r="AU55" s="180"/>
      <c r="AV55" s="180"/>
      <c r="AW55" s="180"/>
      <c r="AX55" s="180"/>
      <c r="AY55" s="180"/>
      <c r="AZ55" s="180"/>
      <c r="BA55" s="180"/>
      <c r="BB55" s="180"/>
      <c r="BC55" s="180"/>
    </row>
    <row r="56" spans="1:55" ht="58.2" customHeight="1" thickBot="1" x14ac:dyDescent="0.4">
      <c r="A56" s="217"/>
      <c r="B56" s="1001" t="s">
        <v>725</v>
      </c>
      <c r="C56" s="1002" t="s">
        <v>1427</v>
      </c>
      <c r="D56" s="227" t="s">
        <v>58</v>
      </c>
      <c r="E56" s="203">
        <v>0.5</v>
      </c>
      <c r="F56" s="204">
        <v>4000</v>
      </c>
      <c r="G56" s="199">
        <v>500</v>
      </c>
      <c r="H56" s="199">
        <v>1300</v>
      </c>
      <c r="I56" s="205">
        <f>+G56/F56</f>
        <v>0.125</v>
      </c>
      <c r="J56" s="205">
        <f t="shared" si="47"/>
        <v>0.32500000000000001</v>
      </c>
      <c r="K56" s="205">
        <f>+(G56/F56)*E56</f>
        <v>6.25E-2</v>
      </c>
      <c r="L56" s="205">
        <f t="shared" si="48"/>
        <v>0.16250000000000001</v>
      </c>
      <c r="M56" s="199">
        <v>1339</v>
      </c>
      <c r="N56" s="595">
        <v>55</v>
      </c>
      <c r="O56" s="595">
        <v>395</v>
      </c>
      <c r="P56" s="595">
        <v>792</v>
      </c>
      <c r="Q56" s="595">
        <v>280</v>
      </c>
      <c r="R56" s="595">
        <v>431</v>
      </c>
      <c r="S56" s="199">
        <f t="shared" si="36"/>
        <v>1953</v>
      </c>
      <c r="T56" s="199">
        <f t="shared" si="55"/>
        <v>3292</v>
      </c>
      <c r="U56" s="223">
        <v>1</v>
      </c>
      <c r="V56" s="223">
        <v>1</v>
      </c>
      <c r="W56" s="223">
        <f>+U56*E56</f>
        <v>0.5</v>
      </c>
      <c r="X56" s="223">
        <f>+V56*E56</f>
        <v>0.5</v>
      </c>
      <c r="Y56" s="223">
        <f>+M56/F56</f>
        <v>0.33474999999999999</v>
      </c>
      <c r="Z56" s="223">
        <f>+T56/F56</f>
        <v>0.82299999999999995</v>
      </c>
      <c r="AA56" s="205">
        <f>+Y56*E56</f>
        <v>0.167375</v>
      </c>
      <c r="AB56" s="205">
        <f t="shared" si="58"/>
        <v>0.41149999999999998</v>
      </c>
      <c r="AC56" s="636" t="s">
        <v>1850</v>
      </c>
      <c r="AD56" s="1100" t="s">
        <v>1893</v>
      </c>
      <c r="AE56" s="1100" t="s">
        <v>2275</v>
      </c>
      <c r="AF56" s="1100" t="s">
        <v>2296</v>
      </c>
      <c r="AG56" s="1100" t="s">
        <v>2412</v>
      </c>
      <c r="AH56" s="1100" t="s">
        <v>2447</v>
      </c>
      <c r="AI56" s="1100" t="s">
        <v>2564</v>
      </c>
      <c r="AJ56" s="180"/>
      <c r="AK56" s="180"/>
      <c r="AL56" s="180"/>
      <c r="AM56" s="180"/>
      <c r="AN56" s="180"/>
      <c r="AO56" s="180"/>
      <c r="AP56" s="180"/>
      <c r="AQ56" s="180"/>
      <c r="AR56" s="180"/>
      <c r="AS56" s="180"/>
      <c r="AT56" s="180"/>
      <c r="AU56" s="180"/>
      <c r="AV56" s="180"/>
      <c r="AW56" s="180"/>
      <c r="AX56" s="180"/>
      <c r="AY56" s="180"/>
      <c r="AZ56" s="180"/>
      <c r="BA56" s="180"/>
      <c r="BB56" s="180"/>
      <c r="BC56" s="180"/>
    </row>
    <row r="57" spans="1:55" ht="76.2" customHeight="1" thickBot="1" x14ac:dyDescent="0.4">
      <c r="A57" s="217"/>
      <c r="B57" s="1032" t="s">
        <v>726</v>
      </c>
      <c r="C57" s="1135" t="s">
        <v>1428</v>
      </c>
      <c r="D57" s="227" t="s">
        <v>58</v>
      </c>
      <c r="E57" s="203">
        <v>0.15</v>
      </c>
      <c r="F57" s="204">
        <v>4</v>
      </c>
      <c r="G57" s="199">
        <v>0</v>
      </c>
      <c r="H57" s="199">
        <v>1</v>
      </c>
      <c r="I57" s="205"/>
      <c r="J57" s="205">
        <f t="shared" si="47"/>
        <v>0.25</v>
      </c>
      <c r="K57" s="205"/>
      <c r="L57" s="205">
        <f t="shared" si="48"/>
        <v>3.7499999999999999E-2</v>
      </c>
      <c r="M57" s="199"/>
      <c r="N57" s="595">
        <v>0</v>
      </c>
      <c r="O57" s="595">
        <v>0</v>
      </c>
      <c r="P57" s="595">
        <v>0</v>
      </c>
      <c r="Q57" s="595">
        <v>0</v>
      </c>
      <c r="R57" s="595">
        <v>1</v>
      </c>
      <c r="S57" s="199">
        <f t="shared" si="36"/>
        <v>1</v>
      </c>
      <c r="T57" s="199">
        <f t="shared" si="55"/>
        <v>1</v>
      </c>
      <c r="U57" s="223"/>
      <c r="V57" s="223">
        <f t="shared" si="56"/>
        <v>1</v>
      </c>
      <c r="W57" s="223"/>
      <c r="X57" s="223">
        <f t="shared" si="57"/>
        <v>0.15</v>
      </c>
      <c r="Y57" s="223"/>
      <c r="Z57" s="223">
        <f t="shared" si="52"/>
        <v>0.25</v>
      </c>
      <c r="AA57" s="205"/>
      <c r="AB57" s="205">
        <f t="shared" si="58"/>
        <v>3.7499999999999999E-2</v>
      </c>
      <c r="AC57" s="636" t="s">
        <v>1850</v>
      </c>
      <c r="AD57" s="1100" t="s">
        <v>1893</v>
      </c>
      <c r="AE57" s="1100" t="s">
        <v>2275</v>
      </c>
      <c r="AF57" s="1100" t="s">
        <v>2296</v>
      </c>
      <c r="AG57" s="1100" t="s">
        <v>2412</v>
      </c>
      <c r="AH57" s="1100" t="s">
        <v>2447</v>
      </c>
      <c r="AI57" s="1213" t="s">
        <v>1865</v>
      </c>
      <c r="AJ57" s="180"/>
      <c r="AK57" s="180"/>
      <c r="AL57" s="180"/>
      <c r="AM57" s="180"/>
      <c r="AN57" s="180"/>
      <c r="AO57" s="180"/>
      <c r="AP57" s="180"/>
      <c r="AQ57" s="180"/>
      <c r="AR57" s="180"/>
      <c r="AS57" s="180"/>
      <c r="AT57" s="180"/>
      <c r="AU57" s="180"/>
      <c r="AV57" s="180"/>
      <c r="AW57" s="180"/>
      <c r="AX57" s="180"/>
      <c r="AY57" s="180"/>
      <c r="AZ57" s="180"/>
      <c r="BA57" s="180"/>
      <c r="BB57" s="180"/>
      <c r="BC57" s="180"/>
    </row>
    <row r="58" spans="1:55" ht="66" customHeight="1" thickBot="1" x14ac:dyDescent="0.4">
      <c r="A58" s="217"/>
      <c r="B58" s="1001" t="s">
        <v>727</v>
      </c>
      <c r="C58" s="1002" t="s">
        <v>1429</v>
      </c>
      <c r="D58" s="227" t="s">
        <v>58</v>
      </c>
      <c r="E58" s="203">
        <v>0.3</v>
      </c>
      <c r="F58" s="204">
        <v>100</v>
      </c>
      <c r="G58" s="199">
        <v>0</v>
      </c>
      <c r="H58" s="199">
        <v>50</v>
      </c>
      <c r="I58" s="205"/>
      <c r="J58" s="205">
        <f t="shared" si="47"/>
        <v>0.5</v>
      </c>
      <c r="K58" s="205"/>
      <c r="L58" s="205">
        <f t="shared" si="48"/>
        <v>0.15</v>
      </c>
      <c r="M58" s="199"/>
      <c r="N58" s="595">
        <v>0</v>
      </c>
      <c r="O58" s="595">
        <v>0</v>
      </c>
      <c r="P58" s="595">
        <v>0</v>
      </c>
      <c r="Q58" s="595">
        <v>0</v>
      </c>
      <c r="R58" s="595">
        <v>50</v>
      </c>
      <c r="S58" s="199">
        <f t="shared" si="36"/>
        <v>50</v>
      </c>
      <c r="T58" s="199">
        <f t="shared" si="55"/>
        <v>50</v>
      </c>
      <c r="U58" s="223"/>
      <c r="V58" s="223">
        <f t="shared" si="56"/>
        <v>1</v>
      </c>
      <c r="W58" s="223"/>
      <c r="X58" s="223">
        <f t="shared" si="57"/>
        <v>0.3</v>
      </c>
      <c r="Y58" s="223"/>
      <c r="Z58" s="223">
        <f t="shared" si="52"/>
        <v>0.5</v>
      </c>
      <c r="AA58" s="205"/>
      <c r="AB58" s="205">
        <f t="shared" si="58"/>
        <v>0.15</v>
      </c>
      <c r="AC58" s="636" t="s">
        <v>1850</v>
      </c>
      <c r="AD58" s="1100" t="s">
        <v>1893</v>
      </c>
      <c r="AE58" s="1100" t="s">
        <v>2275</v>
      </c>
      <c r="AF58" s="1100" t="s">
        <v>2296</v>
      </c>
      <c r="AG58" s="618" t="s">
        <v>2366</v>
      </c>
      <c r="AH58" s="1100" t="s">
        <v>2447</v>
      </c>
      <c r="AI58" s="1100" t="s">
        <v>2564</v>
      </c>
      <c r="AJ58" s="180"/>
      <c r="AK58" s="180"/>
      <c r="AL58" s="180"/>
      <c r="AM58" s="180"/>
      <c r="AN58" s="180"/>
      <c r="AO58" s="180"/>
      <c r="AP58" s="180"/>
      <c r="AQ58" s="180"/>
      <c r="AR58" s="180"/>
      <c r="AS58" s="180"/>
      <c r="AT58" s="180"/>
      <c r="AU58" s="180"/>
      <c r="AV58" s="180"/>
      <c r="AW58" s="180"/>
      <c r="AX58" s="180"/>
      <c r="AY58" s="180"/>
      <c r="AZ58" s="180"/>
      <c r="BA58" s="180"/>
      <c r="BB58" s="180"/>
      <c r="BC58" s="180"/>
    </row>
    <row r="59" spans="1:55" ht="42.75" customHeight="1" thickBot="1" x14ac:dyDescent="0.4">
      <c r="A59" s="217"/>
      <c r="B59" s="1319" t="s">
        <v>1711</v>
      </c>
      <c r="C59" s="1320"/>
      <c r="D59" s="227"/>
      <c r="E59" s="195">
        <v>0.3</v>
      </c>
      <c r="F59" s="216"/>
      <c r="G59" s="199"/>
      <c r="H59" s="199"/>
      <c r="I59" s="198">
        <f>+AVERAGE(I60:I63)</f>
        <v>0.125</v>
      </c>
      <c r="J59" s="198">
        <f>+AVERAGE(J60:J63)</f>
        <v>0.45250000000000001</v>
      </c>
      <c r="K59" s="198">
        <f>+K60+K61+K62+K63</f>
        <v>7.0000000000000007E-2</v>
      </c>
      <c r="L59" s="198">
        <f>+L60+L61+L62+L63</f>
        <v>0.50550000000000006</v>
      </c>
      <c r="M59" s="199"/>
      <c r="N59" s="199"/>
      <c r="O59" s="199"/>
      <c r="P59" s="199"/>
      <c r="Q59" s="199"/>
      <c r="R59" s="935"/>
      <c r="S59" s="199"/>
      <c r="T59" s="199"/>
      <c r="U59" s="221">
        <f>+AVERAGE(U60:U63)</f>
        <v>1</v>
      </c>
      <c r="V59" s="221">
        <f>+AVERAGE(V60:V63)</f>
        <v>0.96250000000000002</v>
      </c>
      <c r="W59" s="221">
        <f>+(W60+W61+W62+W63)*E59</f>
        <v>0.16500000000000001</v>
      </c>
      <c r="X59" s="221">
        <f>+(X60+X61+X62+X63)*E59</f>
        <v>0.28200000000000003</v>
      </c>
      <c r="Y59" s="198">
        <f>+AVERAGE(Y60:Y63)</f>
        <v>0.26550000000000001</v>
      </c>
      <c r="Z59" s="198">
        <f>+AVERAGE(Z60:Z63)</f>
        <v>0.58320833333333333</v>
      </c>
      <c r="AA59" s="198">
        <f>+(AA60+AA61+AA62+AA63)*E59</f>
        <v>4.3927500000000001E-2</v>
      </c>
      <c r="AB59" s="198">
        <f>+(AB60+AB61+AB62+AB63)</f>
        <v>0.56505833333333333</v>
      </c>
      <c r="AC59" s="663"/>
      <c r="AD59" s="192"/>
      <c r="AE59" s="192"/>
      <c r="AF59" s="192"/>
      <c r="AG59" s="192"/>
      <c r="AH59" s="192"/>
      <c r="AI59" s="186"/>
      <c r="AJ59" s="180"/>
      <c r="AK59" s="180"/>
      <c r="AL59" s="180"/>
      <c r="AM59" s="180"/>
      <c r="AN59" s="180"/>
      <c r="AO59" s="180"/>
      <c r="AP59" s="180"/>
      <c r="AQ59" s="180"/>
      <c r="AR59" s="180"/>
      <c r="AS59" s="180"/>
      <c r="AT59" s="180"/>
      <c r="AU59" s="180"/>
      <c r="AV59" s="180"/>
      <c r="AW59" s="180"/>
      <c r="AX59" s="180"/>
      <c r="AY59" s="180"/>
      <c r="AZ59" s="180"/>
      <c r="BA59" s="180"/>
      <c r="BB59" s="180"/>
      <c r="BC59" s="180"/>
    </row>
    <row r="60" spans="1:55" ht="85.2" customHeight="1" thickBot="1" x14ac:dyDescent="0.4">
      <c r="A60" s="184"/>
      <c r="B60" s="1003" t="s">
        <v>728</v>
      </c>
      <c r="C60" s="1004" t="s">
        <v>1430</v>
      </c>
      <c r="D60" s="228" t="s">
        <v>58</v>
      </c>
      <c r="E60" s="203">
        <v>0.3</v>
      </c>
      <c r="F60" s="204">
        <v>2000</v>
      </c>
      <c r="G60" s="199">
        <v>300</v>
      </c>
      <c r="H60" s="199">
        <v>120</v>
      </c>
      <c r="I60" s="205">
        <f>+G60/F60</f>
        <v>0.15</v>
      </c>
      <c r="J60" s="205">
        <f t="shared" si="47"/>
        <v>0.06</v>
      </c>
      <c r="K60" s="205">
        <f>+(G60/F60)*E60</f>
        <v>4.4999999999999998E-2</v>
      </c>
      <c r="L60" s="205">
        <f t="shared" si="48"/>
        <v>1.7999999999999999E-2</v>
      </c>
      <c r="M60" s="199">
        <v>547</v>
      </c>
      <c r="N60" s="595">
        <v>0</v>
      </c>
      <c r="O60" s="595">
        <v>531</v>
      </c>
      <c r="P60" s="595">
        <v>405</v>
      </c>
      <c r="Q60" s="595">
        <v>54</v>
      </c>
      <c r="R60" s="595">
        <v>37</v>
      </c>
      <c r="S60" s="199">
        <f t="shared" si="36"/>
        <v>1027</v>
      </c>
      <c r="T60" s="199">
        <f t="shared" ref="T60:T63" si="59">+S60+M60</f>
        <v>1574</v>
      </c>
      <c r="U60" s="223">
        <v>1</v>
      </c>
      <c r="V60" s="223">
        <v>1</v>
      </c>
      <c r="W60" s="223">
        <f>+U60*E60</f>
        <v>0.3</v>
      </c>
      <c r="X60" s="223">
        <f t="shared" ref="X60:X62" si="60">+V60*E60</f>
        <v>0.3</v>
      </c>
      <c r="Y60" s="223">
        <f>+M60/F60</f>
        <v>0.27350000000000002</v>
      </c>
      <c r="Z60" s="223">
        <f t="shared" si="52"/>
        <v>0.78700000000000003</v>
      </c>
      <c r="AA60" s="205">
        <f>+Y60*E60</f>
        <v>8.2049999999999998E-2</v>
      </c>
      <c r="AB60" s="205">
        <f>+Z60*E60</f>
        <v>0.2361</v>
      </c>
      <c r="AC60" s="636" t="s">
        <v>1850</v>
      </c>
      <c r="AD60" s="1100" t="s">
        <v>1893</v>
      </c>
      <c r="AE60" s="1100" t="s">
        <v>2275</v>
      </c>
      <c r="AF60" s="1100" t="s">
        <v>2296</v>
      </c>
      <c r="AG60" s="1100" t="s">
        <v>2412</v>
      </c>
      <c r="AH60" s="1100" t="s">
        <v>2447</v>
      </c>
      <c r="AI60" s="1100" t="s">
        <v>2564</v>
      </c>
      <c r="AJ60" s="180"/>
      <c r="AK60" s="180"/>
      <c r="AL60" s="180"/>
      <c r="AM60" s="180"/>
      <c r="AN60" s="180"/>
      <c r="AO60" s="180"/>
      <c r="AP60" s="180"/>
      <c r="AQ60" s="180"/>
      <c r="AR60" s="180"/>
      <c r="AS60" s="180"/>
      <c r="AT60" s="180"/>
      <c r="AU60" s="180"/>
      <c r="AV60" s="180"/>
      <c r="AW60" s="180"/>
      <c r="AX60" s="180"/>
      <c r="AY60" s="180"/>
      <c r="AZ60" s="180"/>
      <c r="BA60" s="180"/>
      <c r="BB60" s="180"/>
      <c r="BC60" s="180"/>
    </row>
    <row r="61" spans="1:55" ht="111.6" customHeight="1" thickBot="1" x14ac:dyDescent="0.4">
      <c r="A61" s="184"/>
      <c r="B61" s="1214" t="s">
        <v>729</v>
      </c>
      <c r="C61" s="1215" t="s">
        <v>1431</v>
      </c>
      <c r="D61" s="229" t="s">
        <v>58</v>
      </c>
      <c r="E61" s="203">
        <v>0.4</v>
      </c>
      <c r="F61" s="204">
        <v>600</v>
      </c>
      <c r="G61" s="199">
        <v>0</v>
      </c>
      <c r="H61" s="638">
        <v>600</v>
      </c>
      <c r="I61" s="205"/>
      <c r="J61" s="205">
        <f t="shared" si="47"/>
        <v>1</v>
      </c>
      <c r="K61" s="205"/>
      <c r="L61" s="205">
        <f t="shared" si="48"/>
        <v>0.4</v>
      </c>
      <c r="M61" s="199"/>
      <c r="N61" s="595">
        <v>0</v>
      </c>
      <c r="O61" s="595">
        <v>0</v>
      </c>
      <c r="P61" s="595">
        <v>110</v>
      </c>
      <c r="Q61" s="595">
        <v>0</v>
      </c>
      <c r="R61" s="595">
        <v>60</v>
      </c>
      <c r="S61" s="199">
        <f t="shared" si="36"/>
        <v>170</v>
      </c>
      <c r="T61" s="199">
        <f t="shared" si="59"/>
        <v>170</v>
      </c>
      <c r="U61" s="223"/>
      <c r="V61" s="223">
        <f>+S61/200</f>
        <v>0.85</v>
      </c>
      <c r="W61" s="223"/>
      <c r="X61" s="223">
        <f t="shared" si="60"/>
        <v>0.34</v>
      </c>
      <c r="Y61" s="223"/>
      <c r="Z61" s="223">
        <f t="shared" si="52"/>
        <v>0.28333333333333333</v>
      </c>
      <c r="AA61" s="205">
        <f>+Y61*E61</f>
        <v>0</v>
      </c>
      <c r="AB61" s="205">
        <f t="shared" ref="AB61:AB63" si="61">+Z61*E61</f>
        <v>0.11333333333333334</v>
      </c>
      <c r="AC61" s="636" t="s">
        <v>1850</v>
      </c>
      <c r="AD61" s="1100" t="s">
        <v>1920</v>
      </c>
      <c r="AE61" s="1100" t="s">
        <v>2275</v>
      </c>
      <c r="AF61" s="1100" t="s">
        <v>2296</v>
      </c>
      <c r="AG61" s="1100" t="s">
        <v>2412</v>
      </c>
      <c r="AH61" s="1100" t="s">
        <v>2447</v>
      </c>
      <c r="AI61" s="1213" t="s">
        <v>2596</v>
      </c>
      <c r="AJ61" s="180"/>
      <c r="AK61" s="180"/>
      <c r="AL61" s="180"/>
      <c r="AM61" s="180"/>
      <c r="AN61" s="180"/>
      <c r="AO61" s="180"/>
      <c r="AP61" s="180"/>
      <c r="AQ61" s="180"/>
      <c r="AR61" s="180"/>
      <c r="AS61" s="180"/>
      <c r="AT61" s="180"/>
      <c r="AU61" s="180"/>
      <c r="AV61" s="180"/>
      <c r="AW61" s="180"/>
      <c r="AX61" s="180"/>
      <c r="AY61" s="180"/>
      <c r="AZ61" s="180"/>
      <c r="BA61" s="180"/>
      <c r="BB61" s="180"/>
      <c r="BC61" s="180"/>
    </row>
    <row r="62" spans="1:55" ht="66" customHeight="1" thickBot="1" x14ac:dyDescent="0.4">
      <c r="A62" s="217"/>
      <c r="B62" s="1005" t="s">
        <v>730</v>
      </c>
      <c r="C62" s="1006" t="s">
        <v>1432</v>
      </c>
      <c r="D62" s="230" t="s">
        <v>58</v>
      </c>
      <c r="E62" s="203">
        <v>0.25</v>
      </c>
      <c r="F62" s="204">
        <v>400</v>
      </c>
      <c r="G62" s="199">
        <v>40</v>
      </c>
      <c r="H62" s="199">
        <v>100</v>
      </c>
      <c r="I62" s="205">
        <f>+G62/F62</f>
        <v>0.1</v>
      </c>
      <c r="J62" s="205">
        <f t="shared" si="47"/>
        <v>0.25</v>
      </c>
      <c r="K62" s="205">
        <f>+(G62/F62)*E62</f>
        <v>2.5000000000000001E-2</v>
      </c>
      <c r="L62" s="205">
        <f t="shared" si="48"/>
        <v>6.25E-2</v>
      </c>
      <c r="M62" s="199">
        <v>103</v>
      </c>
      <c r="N62" s="595">
        <v>0</v>
      </c>
      <c r="O62" s="595">
        <v>0</v>
      </c>
      <c r="P62" s="595">
        <v>78</v>
      </c>
      <c r="Q62" s="595">
        <v>74</v>
      </c>
      <c r="R62" s="595">
        <v>50</v>
      </c>
      <c r="S62" s="199">
        <f t="shared" si="36"/>
        <v>202</v>
      </c>
      <c r="T62" s="199">
        <f t="shared" si="59"/>
        <v>305</v>
      </c>
      <c r="U62" s="223">
        <v>1</v>
      </c>
      <c r="V62" s="223">
        <v>1</v>
      </c>
      <c r="W62" s="223">
        <f>+U62*E62</f>
        <v>0.25</v>
      </c>
      <c r="X62" s="223">
        <f t="shared" si="60"/>
        <v>0.25</v>
      </c>
      <c r="Y62" s="223">
        <f>+M62/F62</f>
        <v>0.25750000000000001</v>
      </c>
      <c r="Z62" s="223">
        <f t="shared" si="52"/>
        <v>0.76249999999999996</v>
      </c>
      <c r="AA62" s="205">
        <f>+Y62*E62</f>
        <v>6.4375000000000002E-2</v>
      </c>
      <c r="AB62" s="205">
        <f t="shared" si="61"/>
        <v>0.19062499999999999</v>
      </c>
      <c r="AC62" s="636" t="s">
        <v>1850</v>
      </c>
      <c r="AD62" s="1100" t="s">
        <v>1893</v>
      </c>
      <c r="AE62" s="1100" t="s">
        <v>2275</v>
      </c>
      <c r="AF62" s="1100" t="s">
        <v>2296</v>
      </c>
      <c r="AG62" s="1100" t="s">
        <v>2412</v>
      </c>
      <c r="AH62" s="1100" t="s">
        <v>2447</v>
      </c>
      <c r="AI62" s="1100" t="s">
        <v>2564</v>
      </c>
      <c r="AJ62" s="180"/>
      <c r="AK62" s="180"/>
      <c r="AL62" s="180"/>
      <c r="AM62" s="180"/>
      <c r="AN62" s="180"/>
      <c r="AO62" s="180"/>
      <c r="AP62" s="180"/>
      <c r="AQ62" s="180"/>
      <c r="AR62" s="180"/>
      <c r="AS62" s="180"/>
      <c r="AT62" s="180"/>
      <c r="AU62" s="180"/>
      <c r="AV62" s="180"/>
      <c r="AW62" s="180"/>
      <c r="AX62" s="180"/>
      <c r="AY62" s="180"/>
      <c r="AZ62" s="180"/>
      <c r="BA62" s="180"/>
      <c r="BB62" s="180"/>
      <c r="BC62" s="180"/>
    </row>
    <row r="63" spans="1:55" ht="82.95" customHeight="1" thickBot="1" x14ac:dyDescent="0.4">
      <c r="A63" s="184"/>
      <c r="B63" s="1007" t="s">
        <v>731</v>
      </c>
      <c r="C63" s="1008" t="s">
        <v>1433</v>
      </c>
      <c r="D63" s="225" t="s">
        <v>58</v>
      </c>
      <c r="E63" s="203">
        <v>0.05</v>
      </c>
      <c r="F63" s="204">
        <v>4</v>
      </c>
      <c r="G63" s="199">
        <v>0</v>
      </c>
      <c r="H63" s="199">
        <v>2</v>
      </c>
      <c r="I63" s="205"/>
      <c r="J63" s="205">
        <f t="shared" si="47"/>
        <v>0.5</v>
      </c>
      <c r="K63" s="205"/>
      <c r="L63" s="205">
        <f t="shared" si="48"/>
        <v>2.5000000000000001E-2</v>
      </c>
      <c r="M63" s="199"/>
      <c r="N63" s="595">
        <v>0</v>
      </c>
      <c r="O63" s="595">
        <v>1</v>
      </c>
      <c r="P63" s="595">
        <v>1</v>
      </c>
      <c r="Q63" s="595">
        <v>0</v>
      </c>
      <c r="R63" s="595">
        <v>0</v>
      </c>
      <c r="S63" s="199">
        <f t="shared" si="36"/>
        <v>2</v>
      </c>
      <c r="T63" s="199">
        <f t="shared" si="59"/>
        <v>2</v>
      </c>
      <c r="U63" s="205"/>
      <c r="V63" s="205">
        <f t="shared" ref="V63" si="62">+S63/H63</f>
        <v>1</v>
      </c>
      <c r="W63" s="205"/>
      <c r="X63" s="205">
        <f>+V63*E63</f>
        <v>0.05</v>
      </c>
      <c r="Y63" s="205"/>
      <c r="Z63" s="205">
        <f t="shared" si="52"/>
        <v>0.5</v>
      </c>
      <c r="AA63" s="205">
        <f>+Y63*E63</f>
        <v>0</v>
      </c>
      <c r="AB63" s="205">
        <f t="shared" si="61"/>
        <v>2.5000000000000001E-2</v>
      </c>
      <c r="AC63" s="636" t="s">
        <v>1850</v>
      </c>
      <c r="AD63" s="1100" t="s">
        <v>1919</v>
      </c>
      <c r="AE63" s="1100" t="s">
        <v>2275</v>
      </c>
      <c r="AF63" s="1100" t="s">
        <v>2296</v>
      </c>
      <c r="AG63" s="1100" t="s">
        <v>2412</v>
      </c>
      <c r="AH63" s="1100" t="s">
        <v>2447</v>
      </c>
      <c r="AI63" s="1100" t="s">
        <v>2564</v>
      </c>
      <c r="AJ63" s="180"/>
      <c r="AK63" s="180"/>
      <c r="AL63" s="180"/>
      <c r="AM63" s="180"/>
      <c r="AN63" s="180"/>
      <c r="AO63" s="180"/>
      <c r="AP63" s="180"/>
      <c r="AQ63" s="180"/>
      <c r="AR63" s="180"/>
      <c r="AS63" s="180"/>
      <c r="AT63" s="180"/>
      <c r="AU63" s="180"/>
      <c r="AV63" s="180"/>
      <c r="AW63" s="180"/>
      <c r="AX63" s="180"/>
      <c r="AY63" s="180"/>
      <c r="AZ63" s="180"/>
      <c r="BA63" s="180"/>
      <c r="BB63" s="180"/>
      <c r="BC63" s="180"/>
    </row>
    <row r="64" spans="1:55" ht="42.75" customHeight="1" thickBot="1" x14ac:dyDescent="0.4">
      <c r="A64" s="184"/>
      <c r="B64" s="1325" t="s">
        <v>1794</v>
      </c>
      <c r="C64" s="1326"/>
      <c r="D64" s="231"/>
      <c r="E64" s="195">
        <v>0.1</v>
      </c>
      <c r="F64" s="216"/>
      <c r="G64" s="192"/>
      <c r="H64" s="192"/>
      <c r="I64" s="198"/>
      <c r="J64" s="198">
        <f>+AVERAGE(J65:J66)</f>
        <v>0</v>
      </c>
      <c r="K64" s="198"/>
      <c r="L64" s="198">
        <f>+L65+L66</f>
        <v>0</v>
      </c>
      <c r="M64" s="199"/>
      <c r="N64" s="199"/>
      <c r="O64" s="199"/>
      <c r="P64" s="199"/>
      <c r="Q64" s="199"/>
      <c r="R64" s="935"/>
      <c r="S64" s="199"/>
      <c r="T64" s="199"/>
      <c r="U64" s="221"/>
      <c r="V64" s="221"/>
      <c r="W64" s="221"/>
      <c r="X64" s="221">
        <f>+(X65+X66)*E64</f>
        <v>0</v>
      </c>
      <c r="Y64" s="198"/>
      <c r="Z64" s="198">
        <f>+AVERAGE(Z65:Z66)</f>
        <v>0.13416666666666666</v>
      </c>
      <c r="AA64" s="198"/>
      <c r="AB64" s="198">
        <f>+(AB65+AB66)</f>
        <v>0.13416666666666666</v>
      </c>
      <c r="AC64" s="663"/>
      <c r="AD64" s="192"/>
      <c r="AE64" s="192"/>
      <c r="AF64" s="192"/>
      <c r="AG64" s="192"/>
      <c r="AH64" s="192"/>
      <c r="AI64" s="186"/>
      <c r="AJ64" s="180"/>
      <c r="AK64" s="180"/>
      <c r="AL64" s="180"/>
      <c r="AM64" s="180"/>
      <c r="AN64" s="180"/>
      <c r="AO64" s="180"/>
      <c r="AP64" s="180"/>
      <c r="AQ64" s="180"/>
      <c r="AR64" s="180"/>
      <c r="AS64" s="180"/>
      <c r="AT64" s="180"/>
      <c r="AU64" s="180"/>
      <c r="AV64" s="180"/>
      <c r="AW64" s="180"/>
      <c r="AX64" s="180"/>
      <c r="AY64" s="180"/>
      <c r="AZ64" s="180"/>
      <c r="BA64" s="180"/>
      <c r="BB64" s="180"/>
      <c r="BC64" s="180"/>
    </row>
    <row r="65" spans="1:55" ht="143.4" customHeight="1" thickBot="1" x14ac:dyDescent="0.4">
      <c r="A65" s="184"/>
      <c r="B65" s="1216" t="s">
        <v>732</v>
      </c>
      <c r="C65" s="1217" t="s">
        <v>1434</v>
      </c>
      <c r="D65" s="225" t="s">
        <v>1934</v>
      </c>
      <c r="E65" s="203">
        <v>0.5</v>
      </c>
      <c r="F65" s="204">
        <v>600</v>
      </c>
      <c r="G65" s="199">
        <v>0</v>
      </c>
      <c r="H65" s="199">
        <v>0</v>
      </c>
      <c r="I65" s="205"/>
      <c r="J65" s="205">
        <f t="shared" si="47"/>
        <v>0</v>
      </c>
      <c r="K65" s="205"/>
      <c r="L65" s="205">
        <f t="shared" si="48"/>
        <v>0</v>
      </c>
      <c r="M65" s="199"/>
      <c r="N65" s="595">
        <v>0</v>
      </c>
      <c r="O65" s="595">
        <v>0</v>
      </c>
      <c r="P65" s="595"/>
      <c r="Q65" s="595"/>
      <c r="R65" s="595">
        <v>161</v>
      </c>
      <c r="S65" s="199">
        <f t="shared" si="36"/>
        <v>161</v>
      </c>
      <c r="T65" s="199">
        <f t="shared" ref="T65:T66" si="63">+S65+M65</f>
        <v>161</v>
      </c>
      <c r="U65" s="206"/>
      <c r="V65" s="205"/>
      <c r="W65" s="207"/>
      <c r="X65" s="207">
        <f t="shared" ref="X65" si="64">+V65*E65</f>
        <v>0</v>
      </c>
      <c r="Y65" s="205"/>
      <c r="Z65" s="223">
        <f>+T65/F65</f>
        <v>0.26833333333333331</v>
      </c>
      <c r="AA65" s="205"/>
      <c r="AB65" s="205">
        <f t="shared" ref="AB65:AB66" si="65">+Z65*E65</f>
        <v>0.13416666666666666</v>
      </c>
      <c r="AC65" s="663"/>
      <c r="AD65" s="724" t="s">
        <v>2369</v>
      </c>
      <c r="AE65" s="724" t="s">
        <v>2370</v>
      </c>
      <c r="AF65" s="1101" t="s">
        <v>2371</v>
      </c>
      <c r="AG65" s="1103" t="s">
        <v>2367</v>
      </c>
      <c r="AH65" s="192"/>
      <c r="AI65" s="719" t="s">
        <v>2565</v>
      </c>
      <c r="AJ65" s="180"/>
      <c r="AK65" s="180"/>
      <c r="AL65" s="180"/>
      <c r="AM65" s="180"/>
      <c r="AN65" s="180"/>
      <c r="AO65" s="180"/>
      <c r="AP65" s="180"/>
      <c r="AQ65" s="180"/>
      <c r="AR65" s="180"/>
      <c r="AS65" s="180"/>
      <c r="AT65" s="180"/>
      <c r="AU65" s="180"/>
      <c r="AV65" s="180"/>
      <c r="AW65" s="180"/>
      <c r="AX65" s="180"/>
      <c r="AY65" s="180"/>
      <c r="AZ65" s="180"/>
      <c r="BA65" s="180"/>
      <c r="BB65" s="180"/>
      <c r="BC65" s="180"/>
    </row>
    <row r="66" spans="1:55" ht="130.19999999999999" customHeight="1" thickBot="1" x14ac:dyDescent="0.4">
      <c r="A66" s="184"/>
      <c r="B66" s="1007" t="s">
        <v>734</v>
      </c>
      <c r="C66" s="1008" t="s">
        <v>1435</v>
      </c>
      <c r="D66" s="225" t="s">
        <v>733</v>
      </c>
      <c r="E66" s="203">
        <v>0.5</v>
      </c>
      <c r="F66" s="204">
        <v>6</v>
      </c>
      <c r="G66" s="199">
        <v>0</v>
      </c>
      <c r="H66" s="199">
        <v>0</v>
      </c>
      <c r="I66" s="205"/>
      <c r="J66" s="205">
        <f t="shared" si="47"/>
        <v>0</v>
      </c>
      <c r="K66" s="205"/>
      <c r="L66" s="205">
        <f t="shared" si="48"/>
        <v>0</v>
      </c>
      <c r="M66" s="199"/>
      <c r="N66" s="595">
        <v>0</v>
      </c>
      <c r="O66" s="595">
        <v>0</v>
      </c>
      <c r="P66" s="595"/>
      <c r="Q66" s="595"/>
      <c r="R66" s="595"/>
      <c r="S66" s="199">
        <f t="shared" si="36"/>
        <v>0</v>
      </c>
      <c r="T66" s="199">
        <f t="shared" si="63"/>
        <v>0</v>
      </c>
      <c r="U66" s="206"/>
      <c r="V66" s="205"/>
      <c r="W66" s="207"/>
      <c r="X66" s="207">
        <f>+V66*E66</f>
        <v>0</v>
      </c>
      <c r="Y66" s="205"/>
      <c r="Z66" s="205">
        <f t="shared" ref="Z66" si="66">+T66/F66</f>
        <v>0</v>
      </c>
      <c r="AA66" s="205"/>
      <c r="AB66" s="205">
        <f t="shared" si="65"/>
        <v>0</v>
      </c>
      <c r="AC66" s="663"/>
      <c r="AD66" s="724" t="s">
        <v>2372</v>
      </c>
      <c r="AE66" s="724" t="s">
        <v>2373</v>
      </c>
      <c r="AF66" s="1101" t="s">
        <v>2339</v>
      </c>
      <c r="AG66" s="1103" t="s">
        <v>2368</v>
      </c>
      <c r="AH66" s="192"/>
      <c r="AI66" s="1100" t="s">
        <v>2564</v>
      </c>
      <c r="AJ66" s="180"/>
      <c r="AK66" s="180"/>
      <c r="AL66" s="180"/>
      <c r="AM66" s="180"/>
      <c r="AN66" s="180"/>
      <c r="AO66" s="180"/>
      <c r="AP66" s="180"/>
      <c r="AQ66" s="180"/>
      <c r="AR66" s="180"/>
      <c r="AS66" s="180"/>
      <c r="AT66" s="180"/>
      <c r="AU66" s="180"/>
      <c r="AV66" s="180"/>
      <c r="AW66" s="180"/>
      <c r="AX66" s="180"/>
      <c r="AY66" s="180"/>
      <c r="AZ66" s="180"/>
      <c r="BA66" s="180"/>
      <c r="BB66" s="180"/>
      <c r="BC66" s="180"/>
    </row>
    <row r="67" spans="1:55" ht="129" customHeight="1" thickBot="1" x14ac:dyDescent="0.4">
      <c r="A67" s="184"/>
      <c r="B67" s="1327" t="s">
        <v>1795</v>
      </c>
      <c r="C67" s="1328"/>
      <c r="D67" s="225"/>
      <c r="E67" s="187">
        <v>0.1</v>
      </c>
      <c r="F67" s="188">
        <f>+E67*W67</f>
        <v>2.2000000000000002E-2</v>
      </c>
      <c r="G67" s="192"/>
      <c r="H67" s="188">
        <f>+E67*X67</f>
        <v>8.7006666666666677E-2</v>
      </c>
      <c r="I67" s="190">
        <f>+((I86+I96)/2)*(2/5)</f>
        <v>0.1135</v>
      </c>
      <c r="J67" s="190">
        <f>+(J68+J73+J86+J91+J96)/5</f>
        <v>0.50593420257578892</v>
      </c>
      <c r="K67" s="191">
        <f>+((K86+K96)/2)*(2/5)</f>
        <v>0.20750000000000002</v>
      </c>
      <c r="L67" s="191">
        <f>+(L68+L73+L86+L91+L96)/5</f>
        <v>0.47529743197983565</v>
      </c>
      <c r="M67" s="192"/>
      <c r="N67" s="192"/>
      <c r="O67" s="192"/>
      <c r="P67" s="192"/>
      <c r="Q67" s="192"/>
      <c r="R67" s="1209"/>
      <c r="S67" s="1181"/>
      <c r="T67" s="192"/>
      <c r="U67" s="190">
        <f>+(U86+U96)/2</f>
        <v>1</v>
      </c>
      <c r="V67" s="190">
        <f>+(V68+V73+V86+V91+V96)/5</f>
        <v>0.81744444444444453</v>
      </c>
      <c r="W67" s="191">
        <f>W68+W73+W86+W91+W96</f>
        <v>0.22</v>
      </c>
      <c r="X67" s="191">
        <f>X68+X73+X86+X91+X96</f>
        <v>0.87006666666666665</v>
      </c>
      <c r="Y67" s="190">
        <f>+((Y86+Y96) /2 )*(2/5)</f>
        <v>0.16850000000000001</v>
      </c>
      <c r="Z67" s="190">
        <f>+(Z68+Z73+Z86+Z91+Z96)/5</f>
        <v>0.51483556384227602</v>
      </c>
      <c r="AA67" s="191">
        <f>AA68+AA73+AA86+AA91+AA96</f>
        <v>8.3350000000000007E-2</v>
      </c>
      <c r="AB67" s="191">
        <f>AB68*E68+AB73*E73+AB86*E86+AB91*E91+AB96*E96</f>
        <v>0.46027253772184246</v>
      </c>
      <c r="AC67" s="663"/>
      <c r="AD67" s="724" t="s">
        <v>1887</v>
      </c>
      <c r="AE67" s="192"/>
      <c r="AF67" s="192"/>
      <c r="AG67" s="192"/>
      <c r="AH67" s="192"/>
      <c r="AI67" s="186"/>
      <c r="AJ67" s="180"/>
      <c r="AK67" s="180"/>
      <c r="AL67" s="180"/>
      <c r="AM67" s="180"/>
      <c r="AN67" s="180"/>
      <c r="AO67" s="180"/>
      <c r="AP67" s="180"/>
      <c r="AQ67" s="180"/>
      <c r="AR67" s="180"/>
      <c r="AS67" s="180"/>
      <c r="AT67" s="180"/>
      <c r="AU67" s="180"/>
      <c r="AV67" s="180"/>
      <c r="AW67" s="180"/>
      <c r="AX67" s="180"/>
      <c r="AY67" s="180"/>
      <c r="AZ67" s="180"/>
      <c r="BA67" s="180"/>
      <c r="BB67" s="180"/>
      <c r="BC67" s="180"/>
    </row>
    <row r="68" spans="1:55" ht="57" customHeight="1" thickBot="1" x14ac:dyDescent="0.4">
      <c r="A68" s="184"/>
      <c r="B68" s="1329" t="s">
        <v>1796</v>
      </c>
      <c r="C68" s="1330"/>
      <c r="D68" s="232"/>
      <c r="E68" s="195">
        <v>0.25</v>
      </c>
      <c r="F68" s="216"/>
      <c r="G68" s="192"/>
      <c r="H68" s="192"/>
      <c r="I68" s="198"/>
      <c r="J68" s="198">
        <f>+AVERAGE(J69:J72)</f>
        <v>0.3845486111111111</v>
      </c>
      <c r="K68" s="198"/>
      <c r="L68" s="198">
        <f>+L69+L70+L71+L72</f>
        <v>0.35642361111111109</v>
      </c>
      <c r="M68" s="197"/>
      <c r="N68" s="197"/>
      <c r="O68" s="197"/>
      <c r="P68" s="197"/>
      <c r="Q68" s="197"/>
      <c r="R68" s="1210"/>
      <c r="S68" s="199"/>
      <c r="T68" s="197"/>
      <c r="U68" s="221"/>
      <c r="V68" s="221">
        <f>+AVERAGE(V69:V72)</f>
        <v>1</v>
      </c>
      <c r="W68" s="221"/>
      <c r="X68" s="221">
        <f>+(X69+X70+X71+X72)*E68</f>
        <v>0.25</v>
      </c>
      <c r="Y68" s="198"/>
      <c r="Z68" s="198">
        <f>+AVERAGE(Z69:Z72)</f>
        <v>0.40173611111111107</v>
      </c>
      <c r="AA68" s="198"/>
      <c r="AB68" s="198">
        <f>+(AB69+AB70+AB71+AB72)</f>
        <v>0.38048611111111108</v>
      </c>
      <c r="AC68" s="663"/>
      <c r="AD68" s="192"/>
      <c r="AE68" s="192"/>
      <c r="AF68" s="192"/>
      <c r="AG68" s="192"/>
      <c r="AH68" s="192"/>
      <c r="AI68" s="186"/>
      <c r="AJ68" s="180"/>
      <c r="AK68" s="180"/>
      <c r="AL68" s="180"/>
      <c r="AM68" s="180"/>
      <c r="AN68" s="180"/>
      <c r="AO68" s="180"/>
      <c r="AP68" s="180"/>
      <c r="AQ68" s="180"/>
      <c r="AR68" s="180"/>
      <c r="AS68" s="180"/>
      <c r="AT68" s="180"/>
      <c r="AU68" s="180"/>
      <c r="AV68" s="180"/>
      <c r="AW68" s="180"/>
      <c r="AX68" s="180"/>
      <c r="AY68" s="180"/>
      <c r="AZ68" s="180"/>
      <c r="BA68" s="180"/>
      <c r="BB68" s="180"/>
      <c r="BC68" s="180"/>
    </row>
    <row r="69" spans="1:55" ht="51" customHeight="1" thickBot="1" x14ac:dyDescent="0.4">
      <c r="A69" s="184"/>
      <c r="B69" s="1012" t="s">
        <v>735</v>
      </c>
      <c r="C69" s="1254" t="s">
        <v>1436</v>
      </c>
      <c r="D69" s="214" t="s">
        <v>736</v>
      </c>
      <c r="E69" s="203">
        <v>0.05</v>
      </c>
      <c r="F69" s="204">
        <v>4</v>
      </c>
      <c r="G69" s="199">
        <v>0</v>
      </c>
      <c r="H69" s="199">
        <v>2</v>
      </c>
      <c r="I69" s="205"/>
      <c r="J69" s="205">
        <f t="shared" ref="J69:J95" si="67">+H69/F69</f>
        <v>0.5</v>
      </c>
      <c r="K69" s="205"/>
      <c r="L69" s="205">
        <f t="shared" ref="L69:L99" si="68">+(H69/F69)*E69</f>
        <v>2.5000000000000001E-2</v>
      </c>
      <c r="M69" s="199"/>
      <c r="N69" s="595">
        <v>0</v>
      </c>
      <c r="O69" s="595">
        <v>0.52</v>
      </c>
      <c r="P69" s="595">
        <v>1.48</v>
      </c>
      <c r="Q69" s="595">
        <v>0</v>
      </c>
      <c r="R69" s="595">
        <v>0</v>
      </c>
      <c r="S69" s="199">
        <f t="shared" si="36"/>
        <v>2</v>
      </c>
      <c r="T69" s="199">
        <f t="shared" ref="T69:T99" si="69">+S69+M69</f>
        <v>2</v>
      </c>
      <c r="U69" s="205"/>
      <c r="V69" s="223">
        <f t="shared" ref="V69:V71" si="70">+S69/H69</f>
        <v>1</v>
      </c>
      <c r="W69" s="223"/>
      <c r="X69" s="223">
        <f t="shared" ref="X69:X72" si="71">+V69*E69</f>
        <v>0.05</v>
      </c>
      <c r="Y69" s="223"/>
      <c r="Z69" s="223">
        <f t="shared" ref="Z69:Z72" si="72">+T69/F69</f>
        <v>0.5</v>
      </c>
      <c r="AA69" s="205"/>
      <c r="AB69" s="205">
        <f t="shared" ref="AB69:AB85" si="73">+Z69*E69</f>
        <v>2.5000000000000001E-2</v>
      </c>
      <c r="AC69" s="663" t="s">
        <v>1576</v>
      </c>
      <c r="AD69" s="1100" t="s">
        <v>1893</v>
      </c>
      <c r="AE69" s="1100" t="s">
        <v>2275</v>
      </c>
      <c r="AF69" s="1100" t="s">
        <v>2296</v>
      </c>
      <c r="AG69" s="1100" t="s">
        <v>2412</v>
      </c>
      <c r="AH69" s="1100" t="s">
        <v>2447</v>
      </c>
      <c r="AI69" s="1100" t="s">
        <v>2564</v>
      </c>
      <c r="AJ69" s="180"/>
      <c r="AK69" s="180"/>
      <c r="AL69" s="180"/>
      <c r="AM69" s="180"/>
      <c r="AN69" s="180"/>
      <c r="AO69" s="180"/>
      <c r="AP69" s="180"/>
      <c r="AQ69" s="180"/>
      <c r="AR69" s="180"/>
      <c r="AS69" s="180"/>
      <c r="AT69" s="180"/>
      <c r="AU69" s="180"/>
      <c r="AV69" s="180"/>
      <c r="AW69" s="180"/>
      <c r="AX69" s="180"/>
      <c r="AY69" s="180"/>
      <c r="AZ69" s="180"/>
      <c r="BA69" s="180"/>
      <c r="BB69" s="180"/>
      <c r="BC69" s="180"/>
    </row>
    <row r="70" spans="1:55" ht="77.400000000000006" customHeight="1" thickBot="1" x14ac:dyDescent="0.4">
      <c r="A70" s="184"/>
      <c r="B70" s="1012" t="s">
        <v>737</v>
      </c>
      <c r="C70" s="1254" t="s">
        <v>1437</v>
      </c>
      <c r="D70" s="214" t="s">
        <v>736</v>
      </c>
      <c r="E70" s="203">
        <v>0.2</v>
      </c>
      <c r="F70" s="204">
        <v>6</v>
      </c>
      <c r="G70" s="199">
        <v>0</v>
      </c>
      <c r="H70" s="199">
        <v>2</v>
      </c>
      <c r="I70" s="205"/>
      <c r="J70" s="205">
        <f t="shared" si="67"/>
        <v>0.33333333333333331</v>
      </c>
      <c r="K70" s="205"/>
      <c r="L70" s="205">
        <f t="shared" si="68"/>
        <v>6.6666666666666666E-2</v>
      </c>
      <c r="M70" s="199"/>
      <c r="N70" s="595">
        <v>0</v>
      </c>
      <c r="O70" s="595">
        <v>0</v>
      </c>
      <c r="P70" s="595">
        <v>0</v>
      </c>
      <c r="Q70" s="595">
        <v>0</v>
      </c>
      <c r="R70" s="595">
        <v>2</v>
      </c>
      <c r="S70" s="199">
        <f t="shared" si="36"/>
        <v>2</v>
      </c>
      <c r="T70" s="199">
        <f t="shared" si="69"/>
        <v>2</v>
      </c>
      <c r="U70" s="205"/>
      <c r="V70" s="223">
        <f t="shared" si="70"/>
        <v>1</v>
      </c>
      <c r="W70" s="223"/>
      <c r="X70" s="223">
        <f t="shared" si="71"/>
        <v>0.2</v>
      </c>
      <c r="Y70" s="223"/>
      <c r="Z70" s="223">
        <f>+T70/F70</f>
        <v>0.33333333333333331</v>
      </c>
      <c r="AA70" s="205"/>
      <c r="AB70" s="205">
        <f t="shared" si="73"/>
        <v>6.6666666666666666E-2</v>
      </c>
      <c r="AC70" s="663" t="s">
        <v>1576</v>
      </c>
      <c r="AD70" s="1100" t="s">
        <v>1893</v>
      </c>
      <c r="AE70" s="1100" t="s">
        <v>2275</v>
      </c>
      <c r="AF70" s="1100" t="s">
        <v>2296</v>
      </c>
      <c r="AG70" s="1100" t="s">
        <v>2412</v>
      </c>
      <c r="AH70" s="1100" t="s">
        <v>2447</v>
      </c>
      <c r="AI70" s="1100" t="s">
        <v>2564</v>
      </c>
      <c r="AJ70" s="180"/>
      <c r="AK70" s="180"/>
      <c r="AL70" s="180"/>
      <c r="AM70" s="180"/>
      <c r="AN70" s="180"/>
      <c r="AO70" s="180"/>
      <c r="AP70" s="180"/>
      <c r="AQ70" s="180"/>
      <c r="AR70" s="180"/>
      <c r="AS70" s="180"/>
      <c r="AT70" s="180"/>
      <c r="AU70" s="180"/>
      <c r="AV70" s="180"/>
      <c r="AW70" s="180"/>
      <c r="AX70" s="180"/>
      <c r="AY70" s="180"/>
      <c r="AZ70" s="180"/>
      <c r="BA70" s="180"/>
      <c r="BB70" s="180"/>
      <c r="BC70" s="180"/>
    </row>
    <row r="71" spans="1:55" ht="75" customHeight="1" thickBot="1" x14ac:dyDescent="0.4">
      <c r="A71" s="184"/>
      <c r="B71" s="1012" t="s">
        <v>738</v>
      </c>
      <c r="C71" s="1254" t="s">
        <v>1438</v>
      </c>
      <c r="D71" s="233" t="s">
        <v>736</v>
      </c>
      <c r="E71" s="203">
        <v>0.4</v>
      </c>
      <c r="F71" s="204">
        <v>360</v>
      </c>
      <c r="G71" s="199">
        <v>0</v>
      </c>
      <c r="H71" s="199">
        <v>130</v>
      </c>
      <c r="I71" s="205"/>
      <c r="J71" s="205">
        <f t="shared" si="67"/>
        <v>0.3611111111111111</v>
      </c>
      <c r="K71" s="205"/>
      <c r="L71" s="205">
        <f>+(H71/F71)*E71</f>
        <v>0.14444444444444446</v>
      </c>
      <c r="M71" s="199"/>
      <c r="N71" s="595">
        <v>0</v>
      </c>
      <c r="O71" s="595">
        <v>0</v>
      </c>
      <c r="P71" s="595">
        <v>0</v>
      </c>
      <c r="Q71" s="595">
        <v>0</v>
      </c>
      <c r="R71" s="595">
        <v>130</v>
      </c>
      <c r="S71" s="199">
        <f t="shared" si="36"/>
        <v>130</v>
      </c>
      <c r="T71" s="199">
        <f t="shared" si="69"/>
        <v>130</v>
      </c>
      <c r="U71" s="205"/>
      <c r="V71" s="223">
        <f t="shared" si="70"/>
        <v>1</v>
      </c>
      <c r="W71" s="223"/>
      <c r="X71" s="223">
        <f t="shared" si="71"/>
        <v>0.4</v>
      </c>
      <c r="Y71" s="223"/>
      <c r="Z71" s="223">
        <f t="shared" si="72"/>
        <v>0.3611111111111111</v>
      </c>
      <c r="AA71" s="205"/>
      <c r="AB71" s="205">
        <f t="shared" si="73"/>
        <v>0.14444444444444446</v>
      </c>
      <c r="AC71" s="663" t="s">
        <v>1576</v>
      </c>
      <c r="AD71" s="1100" t="s">
        <v>1893</v>
      </c>
      <c r="AE71" s="1100" t="s">
        <v>2275</v>
      </c>
      <c r="AF71" s="1100" t="s">
        <v>2296</v>
      </c>
      <c r="AG71" s="1100" t="s">
        <v>2412</v>
      </c>
      <c r="AH71" s="1100" t="s">
        <v>2447</v>
      </c>
      <c r="AI71" s="1100" t="s">
        <v>2564</v>
      </c>
      <c r="AJ71" s="180"/>
      <c r="AK71" s="180"/>
      <c r="AL71" s="180"/>
      <c r="AM71" s="180"/>
      <c r="AN71" s="180"/>
      <c r="AO71" s="180"/>
      <c r="AP71" s="180"/>
      <c r="AQ71" s="180"/>
      <c r="AR71" s="180"/>
      <c r="AS71" s="180"/>
      <c r="AT71" s="180"/>
      <c r="AU71" s="180"/>
      <c r="AV71" s="180"/>
      <c r="AW71" s="180"/>
      <c r="AX71" s="180"/>
      <c r="AY71" s="180"/>
      <c r="AZ71" s="180"/>
      <c r="BA71" s="180"/>
      <c r="BB71" s="180"/>
      <c r="BC71" s="180"/>
    </row>
    <row r="72" spans="1:55" ht="83.4" customHeight="1" thickBot="1" x14ac:dyDescent="0.4">
      <c r="A72" s="184"/>
      <c r="B72" s="1012" t="s">
        <v>739</v>
      </c>
      <c r="C72" s="1254" t="s">
        <v>1439</v>
      </c>
      <c r="D72" s="232" t="s">
        <v>736</v>
      </c>
      <c r="E72" s="203">
        <v>0.35</v>
      </c>
      <c r="F72" s="204">
        <v>320</v>
      </c>
      <c r="G72" s="199">
        <v>0</v>
      </c>
      <c r="H72" s="199">
        <v>110</v>
      </c>
      <c r="I72" s="205"/>
      <c r="J72" s="205">
        <f t="shared" si="67"/>
        <v>0.34375</v>
      </c>
      <c r="K72" s="205"/>
      <c r="L72" s="205">
        <f t="shared" si="68"/>
        <v>0.12031249999999999</v>
      </c>
      <c r="M72" s="199"/>
      <c r="N72" s="595">
        <v>0</v>
      </c>
      <c r="O72" s="595">
        <v>81</v>
      </c>
      <c r="P72" s="595">
        <v>51</v>
      </c>
      <c r="Q72" s="595">
        <v>0</v>
      </c>
      <c r="R72" s="595">
        <v>0</v>
      </c>
      <c r="S72" s="199">
        <f t="shared" si="36"/>
        <v>132</v>
      </c>
      <c r="T72" s="199">
        <f t="shared" si="69"/>
        <v>132</v>
      </c>
      <c r="U72" s="205"/>
      <c r="V72" s="223">
        <v>1</v>
      </c>
      <c r="W72" s="223"/>
      <c r="X72" s="223">
        <f t="shared" si="71"/>
        <v>0.35</v>
      </c>
      <c r="Y72" s="223"/>
      <c r="Z72" s="223">
        <f t="shared" si="72"/>
        <v>0.41249999999999998</v>
      </c>
      <c r="AA72" s="205"/>
      <c r="AB72" s="205">
        <f t="shared" si="73"/>
        <v>0.14437499999999998</v>
      </c>
      <c r="AC72" s="663" t="s">
        <v>1576</v>
      </c>
      <c r="AD72" s="1100" t="s">
        <v>1893</v>
      </c>
      <c r="AE72" s="1100" t="s">
        <v>2275</v>
      </c>
      <c r="AF72" s="1100" t="s">
        <v>2296</v>
      </c>
      <c r="AG72" s="1100" t="s">
        <v>2412</v>
      </c>
      <c r="AH72" s="1100" t="s">
        <v>2447</v>
      </c>
      <c r="AI72" s="1100" t="s">
        <v>2564</v>
      </c>
      <c r="AJ72" s="180"/>
      <c r="AK72" s="180"/>
      <c r="AL72" s="180"/>
      <c r="AM72" s="180"/>
      <c r="AN72" s="180"/>
      <c r="AO72" s="180"/>
      <c r="AP72" s="180"/>
      <c r="AQ72" s="180"/>
      <c r="AR72" s="180"/>
      <c r="AS72" s="180"/>
      <c r="AT72" s="180"/>
      <c r="AU72" s="180"/>
      <c r="AV72" s="180"/>
      <c r="AW72" s="180"/>
      <c r="AX72" s="180"/>
      <c r="AY72" s="180"/>
      <c r="AZ72" s="180"/>
      <c r="BA72" s="180"/>
      <c r="BB72" s="180"/>
      <c r="BC72" s="180"/>
    </row>
    <row r="73" spans="1:55" ht="57" customHeight="1" thickBot="1" x14ac:dyDescent="0.4">
      <c r="A73" s="184"/>
      <c r="B73" s="1319" t="s">
        <v>1797</v>
      </c>
      <c r="C73" s="1320"/>
      <c r="D73" s="214"/>
      <c r="E73" s="195">
        <v>0.2</v>
      </c>
      <c r="F73" s="216"/>
      <c r="G73" s="192"/>
      <c r="H73" s="192"/>
      <c r="I73" s="198"/>
      <c r="J73" s="198">
        <f>+AVERAGE(J74:J85)</f>
        <v>0.53803906843450033</v>
      </c>
      <c r="K73" s="198"/>
      <c r="L73" s="198">
        <f>+L74+L75+L76+L77+L78+L79+L80+L81+L82+L83+L84+L85</f>
        <v>0.44564688212140052</v>
      </c>
      <c r="M73" s="197"/>
      <c r="N73" s="197"/>
      <c r="O73" s="197"/>
      <c r="P73" s="197"/>
      <c r="Q73" s="197"/>
      <c r="R73" s="1210"/>
      <c r="S73" s="199"/>
      <c r="T73" s="197"/>
      <c r="U73" s="221"/>
      <c r="V73" s="221">
        <f>+AVERAGE(V74:V85)</f>
        <v>0.78472222222222221</v>
      </c>
      <c r="W73" s="221"/>
      <c r="X73" s="221">
        <f>+(X74+X75+X76+X77+X78+X79+X80+X81+X82+X83+X84+X85)*E73</f>
        <v>0.16666666666666671</v>
      </c>
      <c r="Y73" s="198"/>
      <c r="Z73" s="198">
        <f>+AVERAGE(Z74:Z85)</f>
        <v>0.46258059698915827</v>
      </c>
      <c r="AA73" s="198"/>
      <c r="AB73" s="198">
        <f>+(AB74+AB75+AB76+AB77+AB78+AB79+AB80+AB81+AB82+AB83+AB84+AB85)</f>
        <v>0.4207967163869899</v>
      </c>
      <c r="AC73" s="663"/>
      <c r="AD73" s="192"/>
      <c r="AE73" s="192"/>
      <c r="AF73" s="192"/>
      <c r="AG73" s="192"/>
      <c r="AH73" s="192"/>
      <c r="AI73" s="186"/>
      <c r="AJ73" s="180"/>
      <c r="AK73" s="180"/>
      <c r="AL73" s="180"/>
      <c r="AM73" s="180"/>
      <c r="AN73" s="180"/>
      <c r="AO73" s="180"/>
      <c r="AP73" s="180"/>
      <c r="AQ73" s="180"/>
      <c r="AR73" s="180"/>
      <c r="AS73" s="180"/>
      <c r="AT73" s="180"/>
      <c r="AU73" s="180"/>
      <c r="AV73" s="180"/>
      <c r="AW73" s="180"/>
      <c r="AX73" s="180"/>
      <c r="AY73" s="180"/>
      <c r="AZ73" s="180"/>
      <c r="BA73" s="180"/>
      <c r="BB73" s="180"/>
      <c r="BC73" s="180"/>
    </row>
    <row r="74" spans="1:55" ht="88.2" customHeight="1" thickBot="1" x14ac:dyDescent="0.4">
      <c r="A74" s="184"/>
      <c r="B74" s="1012" t="s">
        <v>740</v>
      </c>
      <c r="C74" s="1254" t="s">
        <v>1440</v>
      </c>
      <c r="D74" s="214" t="s">
        <v>736</v>
      </c>
      <c r="E74" s="203">
        <v>0.1</v>
      </c>
      <c r="F74" s="204">
        <v>4827</v>
      </c>
      <c r="G74" s="199">
        <v>0</v>
      </c>
      <c r="H74" s="199">
        <v>1600</v>
      </c>
      <c r="I74" s="205"/>
      <c r="J74" s="205">
        <f t="shared" si="67"/>
        <v>0.33146882121400456</v>
      </c>
      <c r="K74" s="205"/>
      <c r="L74" s="205">
        <f t="shared" si="68"/>
        <v>3.3146882121400455E-2</v>
      </c>
      <c r="M74" s="199"/>
      <c r="N74" s="595">
        <v>0</v>
      </c>
      <c r="O74" s="595">
        <v>1131</v>
      </c>
      <c r="P74" s="595">
        <v>575</v>
      </c>
      <c r="Q74" s="595">
        <v>218</v>
      </c>
      <c r="R74" s="595">
        <v>178</v>
      </c>
      <c r="S74" s="199">
        <f t="shared" si="36"/>
        <v>2102</v>
      </c>
      <c r="T74" s="199">
        <f t="shared" si="69"/>
        <v>2102</v>
      </c>
      <c r="U74" s="205"/>
      <c r="V74" s="205">
        <v>1</v>
      </c>
      <c r="W74" s="205"/>
      <c r="X74" s="205">
        <f t="shared" ref="X74:X99" si="74">+V74*E74</f>
        <v>0.1</v>
      </c>
      <c r="Y74" s="205"/>
      <c r="Z74" s="223">
        <f t="shared" ref="Z74:Z98" si="75">+T74/F74</f>
        <v>0.43546716386989848</v>
      </c>
      <c r="AA74" s="205"/>
      <c r="AB74" s="205">
        <f t="shared" si="73"/>
        <v>4.3546716386989849E-2</v>
      </c>
      <c r="AC74" s="663" t="s">
        <v>1576</v>
      </c>
      <c r="AD74" s="1100" t="s">
        <v>1893</v>
      </c>
      <c r="AE74" s="1100" t="s">
        <v>2275</v>
      </c>
      <c r="AF74" s="1100" t="s">
        <v>2296</v>
      </c>
      <c r="AG74" s="1100" t="s">
        <v>2412</v>
      </c>
      <c r="AH74" s="1100" t="s">
        <v>2447</v>
      </c>
      <c r="AI74" s="1100" t="s">
        <v>2564</v>
      </c>
      <c r="AJ74" s="180"/>
      <c r="AK74" s="180"/>
      <c r="AL74" s="180"/>
      <c r="AM74" s="180"/>
      <c r="AN74" s="180"/>
      <c r="AO74" s="180"/>
      <c r="AP74" s="180"/>
      <c r="AQ74" s="180"/>
      <c r="AR74" s="180"/>
      <c r="AS74" s="180"/>
      <c r="AT74" s="180"/>
      <c r="AU74" s="180"/>
      <c r="AV74" s="180"/>
      <c r="AW74" s="180"/>
      <c r="AX74" s="180"/>
      <c r="AY74" s="180"/>
      <c r="AZ74" s="180"/>
      <c r="BA74" s="180"/>
      <c r="BB74" s="180"/>
      <c r="BC74" s="180"/>
    </row>
    <row r="75" spans="1:55" ht="107.4" customHeight="1" thickBot="1" x14ac:dyDescent="0.4">
      <c r="A75" s="184"/>
      <c r="B75" s="1012" t="s">
        <v>741</v>
      </c>
      <c r="C75" s="1254" t="s">
        <v>1441</v>
      </c>
      <c r="D75" s="214" t="s">
        <v>736</v>
      </c>
      <c r="E75" s="203">
        <v>0.2</v>
      </c>
      <c r="F75" s="204">
        <v>400</v>
      </c>
      <c r="G75" s="199">
        <v>0</v>
      </c>
      <c r="H75" s="199">
        <v>150</v>
      </c>
      <c r="I75" s="205"/>
      <c r="J75" s="205">
        <f t="shared" si="67"/>
        <v>0.375</v>
      </c>
      <c r="K75" s="205"/>
      <c r="L75" s="205">
        <f t="shared" si="68"/>
        <v>7.5000000000000011E-2</v>
      </c>
      <c r="M75" s="199"/>
      <c r="N75" s="595">
        <v>0</v>
      </c>
      <c r="O75" s="595">
        <v>6</v>
      </c>
      <c r="P75" s="595">
        <v>25</v>
      </c>
      <c r="Q75" s="595">
        <v>31</v>
      </c>
      <c r="R75" s="595">
        <v>121</v>
      </c>
      <c r="S75" s="199">
        <f t="shared" si="36"/>
        <v>183</v>
      </c>
      <c r="T75" s="199">
        <f t="shared" si="69"/>
        <v>183</v>
      </c>
      <c r="U75" s="205"/>
      <c r="V75" s="223">
        <v>1</v>
      </c>
      <c r="W75" s="223"/>
      <c r="X75" s="223">
        <f t="shared" si="74"/>
        <v>0.2</v>
      </c>
      <c r="Y75" s="223"/>
      <c r="Z75" s="223">
        <f t="shared" si="75"/>
        <v>0.45750000000000002</v>
      </c>
      <c r="AA75" s="205"/>
      <c r="AB75" s="205">
        <f t="shared" si="73"/>
        <v>9.1500000000000012E-2</v>
      </c>
      <c r="AC75" s="663" t="s">
        <v>1576</v>
      </c>
      <c r="AD75" s="1100" t="s">
        <v>1893</v>
      </c>
      <c r="AE75" s="1100" t="s">
        <v>2275</v>
      </c>
      <c r="AF75" s="1100" t="s">
        <v>2296</v>
      </c>
      <c r="AG75" s="1100" t="s">
        <v>2412</v>
      </c>
      <c r="AH75" s="1100" t="s">
        <v>2447</v>
      </c>
      <c r="AI75" s="1100" t="s">
        <v>2564</v>
      </c>
      <c r="AJ75" s="180"/>
      <c r="AK75" s="180"/>
      <c r="AL75" s="180"/>
      <c r="AM75" s="180"/>
      <c r="AN75" s="180"/>
      <c r="AO75" s="180"/>
      <c r="AP75" s="180"/>
      <c r="AQ75" s="180"/>
      <c r="AR75" s="180"/>
      <c r="AS75" s="180"/>
      <c r="AT75" s="180"/>
      <c r="AU75" s="180"/>
      <c r="AV75" s="180"/>
      <c r="AW75" s="180"/>
      <c r="AX75" s="180"/>
      <c r="AY75" s="180"/>
      <c r="AZ75" s="180"/>
      <c r="BA75" s="180"/>
      <c r="BB75" s="180"/>
      <c r="BC75" s="180"/>
    </row>
    <row r="76" spans="1:55" ht="65.400000000000006" customHeight="1" thickBot="1" x14ac:dyDescent="0.4">
      <c r="A76" s="184"/>
      <c r="B76" s="1012" t="s">
        <v>742</v>
      </c>
      <c r="C76" s="1254" t="s">
        <v>1442</v>
      </c>
      <c r="D76" s="214" t="s">
        <v>736</v>
      </c>
      <c r="E76" s="203">
        <v>0.05</v>
      </c>
      <c r="F76" s="204">
        <v>8</v>
      </c>
      <c r="G76" s="199">
        <v>0</v>
      </c>
      <c r="H76" s="199">
        <v>3</v>
      </c>
      <c r="I76" s="205"/>
      <c r="J76" s="205">
        <f t="shared" si="67"/>
        <v>0.375</v>
      </c>
      <c r="K76" s="205"/>
      <c r="L76" s="205">
        <f>+(H76/F76)*E76</f>
        <v>1.8750000000000003E-2</v>
      </c>
      <c r="M76" s="199"/>
      <c r="N76" s="595">
        <v>0</v>
      </c>
      <c r="O76" s="595">
        <v>0.85</v>
      </c>
      <c r="P76" s="595">
        <v>2.15</v>
      </c>
      <c r="Q76" s="595">
        <v>0</v>
      </c>
      <c r="R76" s="595">
        <v>1</v>
      </c>
      <c r="S76" s="199">
        <f t="shared" si="36"/>
        <v>4</v>
      </c>
      <c r="T76" s="199">
        <f t="shared" si="69"/>
        <v>4</v>
      </c>
      <c r="U76" s="205"/>
      <c r="V76" s="223">
        <v>1</v>
      </c>
      <c r="W76" s="223"/>
      <c r="X76" s="223">
        <f t="shared" si="74"/>
        <v>0.05</v>
      </c>
      <c r="Y76" s="223"/>
      <c r="Z76" s="223">
        <f t="shared" si="75"/>
        <v>0.5</v>
      </c>
      <c r="AA76" s="205"/>
      <c r="AB76" s="205">
        <f t="shared" si="73"/>
        <v>2.5000000000000001E-2</v>
      </c>
      <c r="AC76" s="663" t="s">
        <v>1576</v>
      </c>
      <c r="AD76" s="1100" t="s">
        <v>1893</v>
      </c>
      <c r="AE76" s="1100" t="s">
        <v>2275</v>
      </c>
      <c r="AF76" s="1100" t="s">
        <v>2296</v>
      </c>
      <c r="AG76" s="1100" t="s">
        <v>2412</v>
      </c>
      <c r="AH76" s="1100" t="s">
        <v>2447</v>
      </c>
      <c r="AI76" s="1100" t="s">
        <v>2564</v>
      </c>
      <c r="AJ76" s="180"/>
      <c r="AK76" s="180"/>
      <c r="AL76" s="180"/>
      <c r="AM76" s="180"/>
      <c r="AN76" s="180"/>
      <c r="AO76" s="180"/>
      <c r="AP76" s="180"/>
      <c r="AQ76" s="180"/>
      <c r="AR76" s="180"/>
      <c r="AS76" s="180"/>
      <c r="AT76" s="180"/>
      <c r="AU76" s="180"/>
      <c r="AV76" s="180"/>
      <c r="AW76" s="180"/>
      <c r="AX76" s="180"/>
      <c r="AY76" s="180"/>
      <c r="AZ76" s="180"/>
      <c r="BA76" s="180"/>
      <c r="BB76" s="180"/>
      <c r="BC76" s="180"/>
    </row>
    <row r="77" spans="1:55" ht="75" customHeight="1" thickBot="1" x14ac:dyDescent="0.4">
      <c r="A77" s="184"/>
      <c r="B77" s="1012" t="s">
        <v>743</v>
      </c>
      <c r="C77" s="1254" t="s">
        <v>1443</v>
      </c>
      <c r="D77" s="214" t="s">
        <v>736</v>
      </c>
      <c r="E77" s="203">
        <v>0.05</v>
      </c>
      <c r="F77" s="204">
        <v>80</v>
      </c>
      <c r="G77" s="199">
        <v>0</v>
      </c>
      <c r="H77" s="199">
        <v>30</v>
      </c>
      <c r="I77" s="205"/>
      <c r="J77" s="205">
        <f t="shared" si="67"/>
        <v>0.375</v>
      </c>
      <c r="K77" s="205"/>
      <c r="L77" s="205">
        <f t="shared" si="68"/>
        <v>1.8750000000000003E-2</v>
      </c>
      <c r="M77" s="199"/>
      <c r="N77" s="595">
        <v>0</v>
      </c>
      <c r="O77" s="595">
        <v>0</v>
      </c>
      <c r="P77" s="595">
        <v>0</v>
      </c>
      <c r="Q77" s="595">
        <v>0</v>
      </c>
      <c r="R77" s="595">
        <v>30</v>
      </c>
      <c r="S77" s="199">
        <f t="shared" si="36"/>
        <v>30</v>
      </c>
      <c r="T77" s="199">
        <f t="shared" si="69"/>
        <v>30</v>
      </c>
      <c r="U77" s="205"/>
      <c r="V77" s="223">
        <f t="shared" ref="V77:V98" si="76">+S77/H77</f>
        <v>1</v>
      </c>
      <c r="W77" s="223"/>
      <c r="X77" s="223">
        <f>+V77*E77</f>
        <v>0.05</v>
      </c>
      <c r="Y77" s="223"/>
      <c r="Z77" s="223">
        <f t="shared" si="75"/>
        <v>0.375</v>
      </c>
      <c r="AA77" s="205"/>
      <c r="AB77" s="205">
        <f t="shared" si="73"/>
        <v>1.8750000000000003E-2</v>
      </c>
      <c r="AC77" s="663" t="s">
        <v>1576</v>
      </c>
      <c r="AD77" s="1100" t="s">
        <v>1893</v>
      </c>
      <c r="AE77" s="1100" t="s">
        <v>2275</v>
      </c>
      <c r="AF77" s="1100" t="s">
        <v>2296</v>
      </c>
      <c r="AG77" s="1100" t="s">
        <v>2412</v>
      </c>
      <c r="AH77" s="1100" t="s">
        <v>2447</v>
      </c>
      <c r="AI77" s="1100" t="s">
        <v>2564</v>
      </c>
      <c r="AJ77" s="180"/>
      <c r="AK77" s="180"/>
      <c r="AL77" s="180"/>
      <c r="AM77" s="180"/>
      <c r="AN77" s="180"/>
      <c r="AO77" s="180"/>
      <c r="AP77" s="180"/>
      <c r="AQ77" s="180"/>
      <c r="AR77" s="180"/>
      <c r="AS77" s="180"/>
      <c r="AT77" s="180"/>
      <c r="AU77" s="180"/>
      <c r="AV77" s="180"/>
      <c r="AW77" s="180"/>
      <c r="AX77" s="180"/>
      <c r="AY77" s="180"/>
      <c r="AZ77" s="180"/>
      <c r="BA77" s="180"/>
      <c r="BB77" s="180"/>
      <c r="BC77" s="180"/>
    </row>
    <row r="78" spans="1:55" ht="63.6" customHeight="1" thickBot="1" x14ac:dyDescent="0.4">
      <c r="A78" s="184"/>
      <c r="B78" s="1012" t="s">
        <v>744</v>
      </c>
      <c r="C78" s="1254" t="s">
        <v>1444</v>
      </c>
      <c r="D78" s="214" t="s">
        <v>745</v>
      </c>
      <c r="E78" s="203">
        <v>0.25</v>
      </c>
      <c r="F78" s="204">
        <v>500</v>
      </c>
      <c r="G78" s="199">
        <v>0</v>
      </c>
      <c r="H78" s="199">
        <v>200</v>
      </c>
      <c r="I78" s="205"/>
      <c r="J78" s="205">
        <f t="shared" si="67"/>
        <v>0.4</v>
      </c>
      <c r="K78" s="205"/>
      <c r="L78" s="205">
        <f t="shared" si="68"/>
        <v>0.1</v>
      </c>
      <c r="M78" s="199"/>
      <c r="N78" s="595">
        <v>0</v>
      </c>
      <c r="O78" s="595">
        <v>0</v>
      </c>
      <c r="P78" s="595">
        <v>0</v>
      </c>
      <c r="Q78" s="595">
        <v>0</v>
      </c>
      <c r="R78" s="595">
        <v>254</v>
      </c>
      <c r="S78" s="199">
        <f t="shared" si="36"/>
        <v>254</v>
      </c>
      <c r="T78" s="199">
        <f t="shared" si="69"/>
        <v>254</v>
      </c>
      <c r="U78" s="205"/>
      <c r="V78" s="223">
        <v>1</v>
      </c>
      <c r="W78" s="223"/>
      <c r="X78" s="223">
        <f t="shared" si="74"/>
        <v>0.25</v>
      </c>
      <c r="Y78" s="223"/>
      <c r="Z78" s="223">
        <f t="shared" si="75"/>
        <v>0.50800000000000001</v>
      </c>
      <c r="AA78" s="205"/>
      <c r="AB78" s="205">
        <f>+Z78*E78</f>
        <v>0.127</v>
      </c>
      <c r="AC78" s="663" t="s">
        <v>1576</v>
      </c>
      <c r="AD78" s="1100" t="s">
        <v>1893</v>
      </c>
      <c r="AE78" s="1100" t="s">
        <v>2275</v>
      </c>
      <c r="AF78" s="1100" t="s">
        <v>2296</v>
      </c>
      <c r="AG78" s="1100" t="s">
        <v>2412</v>
      </c>
      <c r="AH78" s="1100" t="s">
        <v>2447</v>
      </c>
      <c r="AI78" s="1100" t="s">
        <v>2564</v>
      </c>
      <c r="AJ78" s="180"/>
      <c r="AK78" s="180"/>
      <c r="AL78" s="180"/>
      <c r="AM78" s="180"/>
      <c r="AN78" s="180"/>
      <c r="AO78" s="180"/>
      <c r="AP78" s="180"/>
      <c r="AQ78" s="180"/>
      <c r="AR78" s="180"/>
      <c r="AS78" s="180"/>
      <c r="AT78" s="180"/>
      <c r="AU78" s="180"/>
      <c r="AV78" s="180"/>
      <c r="AW78" s="180"/>
      <c r="AX78" s="180"/>
      <c r="AY78" s="180"/>
      <c r="AZ78" s="180"/>
      <c r="BA78" s="180"/>
      <c r="BB78" s="180"/>
      <c r="BC78" s="180"/>
    </row>
    <row r="79" spans="1:55" ht="61.95" customHeight="1" thickBot="1" x14ac:dyDescent="0.4">
      <c r="A79" s="184"/>
      <c r="B79" s="1012" t="s">
        <v>746</v>
      </c>
      <c r="C79" s="1254" t="s">
        <v>1445</v>
      </c>
      <c r="D79" s="214" t="s">
        <v>736</v>
      </c>
      <c r="E79" s="203">
        <v>0.05</v>
      </c>
      <c r="F79" s="204">
        <v>2</v>
      </c>
      <c r="G79" s="199">
        <v>0</v>
      </c>
      <c r="H79" s="199">
        <v>1</v>
      </c>
      <c r="I79" s="205"/>
      <c r="J79" s="205">
        <f t="shared" si="67"/>
        <v>0.5</v>
      </c>
      <c r="K79" s="205"/>
      <c r="L79" s="205">
        <f t="shared" si="68"/>
        <v>2.5000000000000001E-2</v>
      </c>
      <c r="M79" s="199"/>
      <c r="N79" s="595">
        <v>0</v>
      </c>
      <c r="O79" s="595">
        <v>0</v>
      </c>
      <c r="P79" s="595">
        <v>0</v>
      </c>
      <c r="Q79" s="595">
        <v>0</v>
      </c>
      <c r="R79" s="595">
        <v>1</v>
      </c>
      <c r="S79" s="199">
        <f t="shared" si="36"/>
        <v>1</v>
      </c>
      <c r="T79" s="199">
        <f t="shared" si="69"/>
        <v>1</v>
      </c>
      <c r="U79" s="205"/>
      <c r="V79" s="223">
        <f t="shared" si="76"/>
        <v>1</v>
      </c>
      <c r="W79" s="223"/>
      <c r="X79" s="223">
        <f t="shared" si="74"/>
        <v>0.05</v>
      </c>
      <c r="Y79" s="223"/>
      <c r="Z79" s="223">
        <f>+T79/F79</f>
        <v>0.5</v>
      </c>
      <c r="AA79" s="205"/>
      <c r="AB79" s="205">
        <f t="shared" si="73"/>
        <v>2.5000000000000001E-2</v>
      </c>
      <c r="AC79" s="663" t="s">
        <v>1576</v>
      </c>
      <c r="AD79" s="1100" t="s">
        <v>1893</v>
      </c>
      <c r="AE79" s="1100" t="s">
        <v>2275</v>
      </c>
      <c r="AF79" s="1100" t="s">
        <v>2296</v>
      </c>
      <c r="AG79" s="1100" t="s">
        <v>2412</v>
      </c>
      <c r="AH79" s="1100" t="s">
        <v>2447</v>
      </c>
      <c r="AI79" s="1100" t="s">
        <v>2564</v>
      </c>
      <c r="AJ79" s="180"/>
      <c r="AK79" s="180"/>
      <c r="AL79" s="180"/>
      <c r="AM79" s="180"/>
      <c r="AN79" s="180"/>
      <c r="AO79" s="180"/>
      <c r="AP79" s="180"/>
      <c r="AQ79" s="180"/>
      <c r="AR79" s="180"/>
      <c r="AS79" s="180"/>
      <c r="AT79" s="180"/>
      <c r="AU79" s="180"/>
      <c r="AV79" s="180"/>
      <c r="AW79" s="180"/>
      <c r="AX79" s="180"/>
      <c r="AY79" s="180"/>
      <c r="AZ79" s="180"/>
      <c r="BA79" s="180"/>
      <c r="BB79" s="180"/>
      <c r="BC79" s="180"/>
    </row>
    <row r="80" spans="1:55" ht="42" customHeight="1" thickBot="1" x14ac:dyDescent="0.4">
      <c r="A80" s="184"/>
      <c r="B80" s="1012" t="s">
        <v>747</v>
      </c>
      <c r="C80" s="1254" t="s">
        <v>1446</v>
      </c>
      <c r="D80" s="214" t="s">
        <v>736</v>
      </c>
      <c r="E80" s="203">
        <v>0.11</v>
      </c>
      <c r="F80" s="204">
        <v>4</v>
      </c>
      <c r="G80" s="199">
        <v>0</v>
      </c>
      <c r="H80" s="199">
        <v>2</v>
      </c>
      <c r="I80" s="205"/>
      <c r="J80" s="205">
        <f t="shared" si="67"/>
        <v>0.5</v>
      </c>
      <c r="K80" s="205"/>
      <c r="L80" s="205">
        <f t="shared" si="68"/>
        <v>5.5E-2</v>
      </c>
      <c r="M80" s="199"/>
      <c r="N80" s="595">
        <v>0</v>
      </c>
      <c r="O80" s="595">
        <v>0</v>
      </c>
      <c r="P80" s="595">
        <v>0</v>
      </c>
      <c r="Q80" s="595">
        <v>0</v>
      </c>
      <c r="R80" s="595">
        <v>0</v>
      </c>
      <c r="S80" s="199">
        <f t="shared" si="36"/>
        <v>0</v>
      </c>
      <c r="T80" s="199">
        <f t="shared" si="69"/>
        <v>0</v>
      </c>
      <c r="U80" s="205"/>
      <c r="V80" s="223">
        <f t="shared" si="76"/>
        <v>0</v>
      </c>
      <c r="W80" s="223"/>
      <c r="X80" s="223">
        <f>+V80*E80</f>
        <v>0</v>
      </c>
      <c r="Y80" s="223"/>
      <c r="Z80" s="223">
        <f t="shared" si="75"/>
        <v>0</v>
      </c>
      <c r="AA80" s="205"/>
      <c r="AB80" s="205">
        <f t="shared" si="73"/>
        <v>0</v>
      </c>
      <c r="AC80" s="663" t="s">
        <v>1576</v>
      </c>
      <c r="AD80" s="1100" t="s">
        <v>1893</v>
      </c>
      <c r="AE80" s="1100" t="s">
        <v>2275</v>
      </c>
      <c r="AF80" s="1100" t="s">
        <v>2296</v>
      </c>
      <c r="AG80" s="1100" t="s">
        <v>2412</v>
      </c>
      <c r="AH80" s="1100" t="s">
        <v>2447</v>
      </c>
      <c r="AI80" s="1100" t="s">
        <v>2564</v>
      </c>
      <c r="AJ80" s="180"/>
      <c r="AK80" s="180"/>
      <c r="AL80" s="180"/>
      <c r="AM80" s="180"/>
      <c r="AN80" s="180"/>
      <c r="AO80" s="180"/>
      <c r="AP80" s="180"/>
      <c r="AQ80" s="180"/>
      <c r="AR80" s="180"/>
      <c r="AS80" s="180"/>
      <c r="AT80" s="180"/>
      <c r="AU80" s="180"/>
      <c r="AV80" s="180"/>
      <c r="AW80" s="180"/>
      <c r="AX80" s="180"/>
      <c r="AY80" s="180"/>
      <c r="AZ80" s="180"/>
      <c r="BA80" s="180"/>
      <c r="BB80" s="180"/>
      <c r="BC80" s="180"/>
    </row>
    <row r="81" spans="1:55" ht="61.95" customHeight="1" thickBot="1" x14ac:dyDescent="0.4">
      <c r="A81" s="184"/>
      <c r="B81" s="1012" t="s">
        <v>748</v>
      </c>
      <c r="C81" s="1254" t="s">
        <v>1447</v>
      </c>
      <c r="D81" s="214" t="s">
        <v>736</v>
      </c>
      <c r="E81" s="203">
        <v>0.02</v>
      </c>
      <c r="F81" s="204">
        <v>2</v>
      </c>
      <c r="G81" s="199">
        <v>0</v>
      </c>
      <c r="H81" s="199">
        <v>1</v>
      </c>
      <c r="I81" s="205"/>
      <c r="J81" s="205">
        <f t="shared" si="67"/>
        <v>0.5</v>
      </c>
      <c r="K81" s="205"/>
      <c r="L81" s="205">
        <f t="shared" si="68"/>
        <v>0.01</v>
      </c>
      <c r="M81" s="199"/>
      <c r="N81" s="595">
        <v>0</v>
      </c>
      <c r="O81" s="595">
        <v>0</v>
      </c>
      <c r="P81" s="595">
        <v>0</v>
      </c>
      <c r="Q81" s="595">
        <v>0</v>
      </c>
      <c r="R81" s="595">
        <v>0</v>
      </c>
      <c r="S81" s="199">
        <f t="shared" si="36"/>
        <v>0</v>
      </c>
      <c r="T81" s="199">
        <f t="shared" si="69"/>
        <v>0</v>
      </c>
      <c r="U81" s="205"/>
      <c r="V81" s="223">
        <f t="shared" si="76"/>
        <v>0</v>
      </c>
      <c r="W81" s="223"/>
      <c r="X81" s="223">
        <f t="shared" si="74"/>
        <v>0</v>
      </c>
      <c r="Y81" s="223"/>
      <c r="Z81" s="223">
        <f t="shared" si="75"/>
        <v>0</v>
      </c>
      <c r="AA81" s="205"/>
      <c r="AB81" s="205">
        <f t="shared" si="73"/>
        <v>0</v>
      </c>
      <c r="AC81" s="663" t="s">
        <v>1576</v>
      </c>
      <c r="AD81" s="1100" t="s">
        <v>1893</v>
      </c>
      <c r="AE81" s="1100" t="s">
        <v>2275</v>
      </c>
      <c r="AF81" s="1100" t="s">
        <v>2296</v>
      </c>
      <c r="AG81" s="1100" t="s">
        <v>2412</v>
      </c>
      <c r="AH81" s="1100" t="s">
        <v>2447</v>
      </c>
      <c r="AI81" s="1100" t="s">
        <v>2564</v>
      </c>
      <c r="AJ81" s="180"/>
      <c r="AK81" s="180"/>
      <c r="AL81" s="180"/>
      <c r="AM81" s="180"/>
      <c r="AN81" s="180"/>
      <c r="AO81" s="180"/>
      <c r="AP81" s="180"/>
      <c r="AQ81" s="180"/>
      <c r="AR81" s="180"/>
      <c r="AS81" s="180"/>
      <c r="AT81" s="180"/>
      <c r="AU81" s="180"/>
      <c r="AV81" s="180"/>
      <c r="AW81" s="180"/>
      <c r="AX81" s="180"/>
      <c r="AY81" s="180"/>
      <c r="AZ81" s="180"/>
      <c r="BA81" s="180"/>
      <c r="BB81" s="180"/>
      <c r="BC81" s="180"/>
    </row>
    <row r="82" spans="1:55" ht="45.6" customHeight="1" thickBot="1" x14ac:dyDescent="0.4">
      <c r="A82" s="184"/>
      <c r="B82" s="1012" t="s">
        <v>749</v>
      </c>
      <c r="C82" s="1254" t="s">
        <v>1448</v>
      </c>
      <c r="D82" s="214" t="s">
        <v>736</v>
      </c>
      <c r="E82" s="203">
        <v>0.02</v>
      </c>
      <c r="F82" s="204">
        <v>1</v>
      </c>
      <c r="G82" s="199">
        <v>0</v>
      </c>
      <c r="H82" s="199">
        <v>1</v>
      </c>
      <c r="I82" s="205"/>
      <c r="J82" s="205">
        <f t="shared" si="67"/>
        <v>1</v>
      </c>
      <c r="K82" s="205"/>
      <c r="L82" s="205">
        <f t="shared" si="68"/>
        <v>0.02</v>
      </c>
      <c r="M82" s="199"/>
      <c r="N82" s="595">
        <v>0</v>
      </c>
      <c r="O82" s="595">
        <v>0</v>
      </c>
      <c r="P82" s="595">
        <v>0</v>
      </c>
      <c r="Q82" s="595">
        <v>0</v>
      </c>
      <c r="R82" s="595">
        <v>1</v>
      </c>
      <c r="S82" s="199">
        <f t="shared" si="36"/>
        <v>1</v>
      </c>
      <c r="T82" s="199">
        <f t="shared" si="69"/>
        <v>1</v>
      </c>
      <c r="U82" s="205"/>
      <c r="V82" s="223">
        <f t="shared" si="76"/>
        <v>1</v>
      </c>
      <c r="W82" s="223"/>
      <c r="X82" s="223">
        <f t="shared" si="74"/>
        <v>0.02</v>
      </c>
      <c r="Y82" s="223"/>
      <c r="Z82" s="223">
        <f t="shared" si="75"/>
        <v>1</v>
      </c>
      <c r="AA82" s="205"/>
      <c r="AB82" s="205">
        <f t="shared" si="73"/>
        <v>0.02</v>
      </c>
      <c r="AC82" s="663" t="s">
        <v>1576</v>
      </c>
      <c r="AD82" s="1100" t="s">
        <v>1893</v>
      </c>
      <c r="AE82" s="1100" t="s">
        <v>2275</v>
      </c>
      <c r="AF82" s="1100" t="s">
        <v>2296</v>
      </c>
      <c r="AG82" s="1100" t="s">
        <v>2412</v>
      </c>
      <c r="AH82" s="1100" t="s">
        <v>2447</v>
      </c>
      <c r="AI82" s="1100" t="s">
        <v>2564</v>
      </c>
      <c r="AJ82" s="180"/>
      <c r="AK82" s="180"/>
      <c r="AL82" s="180"/>
      <c r="AM82" s="180"/>
      <c r="AN82" s="180"/>
      <c r="AO82" s="180"/>
      <c r="AP82" s="180"/>
      <c r="AQ82" s="180"/>
      <c r="AR82" s="180"/>
      <c r="AS82" s="180"/>
      <c r="AT82" s="180"/>
      <c r="AU82" s="180"/>
      <c r="AV82" s="180"/>
      <c r="AW82" s="180"/>
      <c r="AX82" s="180"/>
      <c r="AY82" s="180"/>
      <c r="AZ82" s="180"/>
      <c r="BA82" s="180"/>
      <c r="BB82" s="180"/>
      <c r="BC82" s="180"/>
    </row>
    <row r="83" spans="1:55" ht="45.6" customHeight="1" thickBot="1" x14ac:dyDescent="0.4">
      <c r="A83" s="184"/>
      <c r="B83" s="1012" t="s">
        <v>750</v>
      </c>
      <c r="C83" s="1254" t="s">
        <v>1449</v>
      </c>
      <c r="D83" s="214" t="s">
        <v>736</v>
      </c>
      <c r="E83" s="203">
        <v>0.02</v>
      </c>
      <c r="F83" s="204">
        <v>1</v>
      </c>
      <c r="G83" s="199">
        <v>0</v>
      </c>
      <c r="H83" s="199">
        <v>1</v>
      </c>
      <c r="I83" s="205"/>
      <c r="J83" s="205">
        <f t="shared" si="67"/>
        <v>1</v>
      </c>
      <c r="K83" s="205"/>
      <c r="L83" s="205">
        <f t="shared" si="68"/>
        <v>0.02</v>
      </c>
      <c r="M83" s="199"/>
      <c r="N83" s="595">
        <v>0</v>
      </c>
      <c r="O83" s="595">
        <v>0</v>
      </c>
      <c r="P83" s="595">
        <v>0</v>
      </c>
      <c r="Q83" s="595">
        <v>0</v>
      </c>
      <c r="R83" s="595">
        <v>1</v>
      </c>
      <c r="S83" s="199">
        <f t="shared" si="36"/>
        <v>1</v>
      </c>
      <c r="T83" s="199">
        <f t="shared" si="69"/>
        <v>1</v>
      </c>
      <c r="U83" s="205"/>
      <c r="V83" s="223">
        <f t="shared" si="76"/>
        <v>1</v>
      </c>
      <c r="W83" s="223"/>
      <c r="X83" s="223">
        <f>+V83*E83</f>
        <v>0.02</v>
      </c>
      <c r="Y83" s="223"/>
      <c r="Z83" s="223">
        <f t="shared" si="75"/>
        <v>1</v>
      </c>
      <c r="AA83" s="205"/>
      <c r="AB83" s="205">
        <f t="shared" si="73"/>
        <v>0.02</v>
      </c>
      <c r="AC83" s="663" t="s">
        <v>1576</v>
      </c>
      <c r="AD83" s="1100" t="s">
        <v>1893</v>
      </c>
      <c r="AE83" s="1100" t="s">
        <v>2275</v>
      </c>
      <c r="AF83" s="1100" t="s">
        <v>2296</v>
      </c>
      <c r="AG83" s="1100" t="s">
        <v>2412</v>
      </c>
      <c r="AH83" s="1100" t="s">
        <v>2447</v>
      </c>
      <c r="AI83" s="1100" t="s">
        <v>2564</v>
      </c>
      <c r="AJ83" s="180"/>
      <c r="AK83" s="180"/>
      <c r="AL83" s="180"/>
      <c r="AM83" s="180"/>
      <c r="AN83" s="180"/>
      <c r="AO83" s="180"/>
      <c r="AP83" s="180"/>
      <c r="AQ83" s="180"/>
      <c r="AR83" s="180"/>
      <c r="AS83" s="180"/>
      <c r="AT83" s="180"/>
      <c r="AU83" s="180"/>
      <c r="AV83" s="180"/>
      <c r="AW83" s="180"/>
      <c r="AX83" s="180"/>
      <c r="AY83" s="180"/>
      <c r="AZ83" s="180"/>
      <c r="BA83" s="180"/>
      <c r="BB83" s="180"/>
      <c r="BC83" s="180"/>
    </row>
    <row r="84" spans="1:55" ht="54.6" thickBot="1" x14ac:dyDescent="0.4">
      <c r="A84" s="184"/>
      <c r="B84" s="1012" t="s">
        <v>751</v>
      </c>
      <c r="C84" s="1254" t="s">
        <v>1450</v>
      </c>
      <c r="D84" s="214" t="s">
        <v>736</v>
      </c>
      <c r="E84" s="203">
        <v>0.05</v>
      </c>
      <c r="F84" s="204">
        <v>5</v>
      </c>
      <c r="G84" s="199">
        <v>0</v>
      </c>
      <c r="H84" s="199">
        <v>3</v>
      </c>
      <c r="I84" s="205"/>
      <c r="J84" s="205">
        <f t="shared" si="67"/>
        <v>0.6</v>
      </c>
      <c r="K84" s="205"/>
      <c r="L84" s="205">
        <f t="shared" si="68"/>
        <v>0.03</v>
      </c>
      <c r="M84" s="199"/>
      <c r="N84" s="595">
        <v>0</v>
      </c>
      <c r="O84" s="595">
        <v>1</v>
      </c>
      <c r="P84" s="595">
        <v>1</v>
      </c>
      <c r="Q84" s="595">
        <v>0</v>
      </c>
      <c r="R84" s="595">
        <v>0</v>
      </c>
      <c r="S84" s="199">
        <f t="shared" si="36"/>
        <v>2</v>
      </c>
      <c r="T84" s="199">
        <f t="shared" si="69"/>
        <v>2</v>
      </c>
      <c r="U84" s="205"/>
      <c r="V84" s="223">
        <f>+S84/H84</f>
        <v>0.66666666666666663</v>
      </c>
      <c r="W84" s="223"/>
      <c r="X84" s="223">
        <f>+V84*E84</f>
        <v>3.3333333333333333E-2</v>
      </c>
      <c r="Y84" s="223"/>
      <c r="Z84" s="223">
        <f t="shared" si="75"/>
        <v>0.4</v>
      </c>
      <c r="AA84" s="205"/>
      <c r="AB84" s="205">
        <f t="shared" si="73"/>
        <v>2.0000000000000004E-2</v>
      </c>
      <c r="AC84" s="663" t="s">
        <v>1576</v>
      </c>
      <c r="AD84" s="1100" t="s">
        <v>1893</v>
      </c>
      <c r="AE84" s="1100" t="s">
        <v>2275</v>
      </c>
      <c r="AF84" s="1100" t="s">
        <v>2296</v>
      </c>
      <c r="AG84" s="1100" t="s">
        <v>2412</v>
      </c>
      <c r="AH84" s="1100" t="s">
        <v>2447</v>
      </c>
      <c r="AI84" s="1100" t="s">
        <v>2564</v>
      </c>
      <c r="AJ84" s="180"/>
      <c r="AK84" s="180"/>
      <c r="AL84" s="180"/>
      <c r="AM84" s="180"/>
      <c r="AN84" s="180"/>
      <c r="AO84" s="180"/>
      <c r="AP84" s="180"/>
      <c r="AQ84" s="180"/>
      <c r="AR84" s="180"/>
      <c r="AS84" s="180"/>
      <c r="AT84" s="180"/>
      <c r="AU84" s="180"/>
      <c r="AV84" s="180"/>
      <c r="AW84" s="180"/>
      <c r="AX84" s="180"/>
      <c r="AY84" s="180"/>
      <c r="AZ84" s="180"/>
      <c r="BA84" s="180"/>
      <c r="BB84" s="180"/>
      <c r="BC84" s="180"/>
    </row>
    <row r="85" spans="1:55" ht="51" customHeight="1" thickBot="1" x14ac:dyDescent="0.4">
      <c r="A85" s="184"/>
      <c r="B85" s="1012" t="s">
        <v>752</v>
      </c>
      <c r="C85" s="1254" t="s">
        <v>1451</v>
      </c>
      <c r="D85" s="214" t="s">
        <v>736</v>
      </c>
      <c r="E85" s="203">
        <v>0.08</v>
      </c>
      <c r="F85" s="204">
        <v>8</v>
      </c>
      <c r="G85" s="199">
        <v>0</v>
      </c>
      <c r="H85" s="199">
        <v>4</v>
      </c>
      <c r="I85" s="205"/>
      <c r="J85" s="205">
        <f t="shared" si="67"/>
        <v>0.5</v>
      </c>
      <c r="K85" s="205"/>
      <c r="L85" s="205">
        <f t="shared" si="68"/>
        <v>0.04</v>
      </c>
      <c r="M85" s="199"/>
      <c r="N85" s="595">
        <v>0</v>
      </c>
      <c r="O85" s="595">
        <v>0</v>
      </c>
      <c r="P85" s="595">
        <v>1</v>
      </c>
      <c r="Q85" s="595">
        <v>2</v>
      </c>
      <c r="R85" s="595">
        <v>0</v>
      </c>
      <c r="S85" s="199">
        <f t="shared" si="36"/>
        <v>3</v>
      </c>
      <c r="T85" s="199">
        <f t="shared" si="69"/>
        <v>3</v>
      </c>
      <c r="U85" s="205"/>
      <c r="V85" s="223">
        <f t="shared" si="76"/>
        <v>0.75</v>
      </c>
      <c r="W85" s="223"/>
      <c r="X85" s="223">
        <f t="shared" si="74"/>
        <v>0.06</v>
      </c>
      <c r="Y85" s="223"/>
      <c r="Z85" s="223">
        <f t="shared" si="75"/>
        <v>0.375</v>
      </c>
      <c r="AA85" s="205"/>
      <c r="AB85" s="205">
        <f t="shared" si="73"/>
        <v>0.03</v>
      </c>
      <c r="AC85" s="663" t="s">
        <v>1576</v>
      </c>
      <c r="AD85" s="1100" t="s">
        <v>1893</v>
      </c>
      <c r="AE85" s="1100" t="s">
        <v>2275</v>
      </c>
      <c r="AF85" s="1100" t="s">
        <v>2296</v>
      </c>
      <c r="AG85" s="1100" t="s">
        <v>2412</v>
      </c>
      <c r="AH85" s="1100" t="s">
        <v>2447</v>
      </c>
      <c r="AI85" s="1100" t="s">
        <v>2564</v>
      </c>
      <c r="AJ85" s="180"/>
      <c r="AK85" s="180"/>
      <c r="AL85" s="180"/>
      <c r="AM85" s="180"/>
      <c r="AN85" s="180"/>
      <c r="AO85" s="180"/>
      <c r="AP85" s="180"/>
      <c r="AQ85" s="180"/>
      <c r="AR85" s="180"/>
      <c r="AS85" s="180"/>
      <c r="AT85" s="180"/>
      <c r="AU85" s="180"/>
      <c r="AV85" s="180"/>
      <c r="AW85" s="180"/>
      <c r="AX85" s="180"/>
      <c r="AY85" s="180"/>
      <c r="AZ85" s="180"/>
      <c r="BA85" s="180"/>
      <c r="BB85" s="180"/>
      <c r="BC85" s="180"/>
    </row>
    <row r="86" spans="1:55" ht="28.5" customHeight="1" thickBot="1" x14ac:dyDescent="0.4">
      <c r="A86" s="184"/>
      <c r="B86" s="1319" t="s">
        <v>1798</v>
      </c>
      <c r="C86" s="1320"/>
      <c r="D86" s="214"/>
      <c r="E86" s="195">
        <v>0.1</v>
      </c>
      <c r="F86" s="216"/>
      <c r="G86" s="192"/>
      <c r="H86" s="192"/>
      <c r="I86" s="198">
        <f>+AVERAGE(I87:I90)</f>
        <v>0.23749999999999999</v>
      </c>
      <c r="J86" s="198">
        <f>+AVERAGE(J87:J90)</f>
        <v>0.23749999999999999</v>
      </c>
      <c r="K86" s="198">
        <f>+K87+K88+K89+K90</f>
        <v>0.23749999999999999</v>
      </c>
      <c r="L86" s="198">
        <f>+L87+L88+L89+L90</f>
        <v>0.23749999999999999</v>
      </c>
      <c r="M86" s="197"/>
      <c r="N86" s="197"/>
      <c r="O86" s="197"/>
      <c r="P86" s="197"/>
      <c r="Q86" s="197"/>
      <c r="R86" s="1210"/>
      <c r="S86" s="199"/>
      <c r="T86" s="197"/>
      <c r="U86" s="221">
        <f>+AVERAGE(U87:U90)</f>
        <v>1</v>
      </c>
      <c r="V86" s="221">
        <f>+AVERAGE(V87:V90)</f>
        <v>0.75</v>
      </c>
      <c r="W86" s="221">
        <f>+(W87+W88+W89+W90)*E86</f>
        <v>0.1</v>
      </c>
      <c r="X86" s="221">
        <f>+(X87+X88+X89+X90)*E86</f>
        <v>8.0000000000000016E-2</v>
      </c>
      <c r="Y86" s="198">
        <f>+AVERAGE(Y87:Y90)</f>
        <v>0.51249999999999996</v>
      </c>
      <c r="Z86" s="198">
        <f>+AVERAGE(Z87:Z90)</f>
        <v>0.69166666666666665</v>
      </c>
      <c r="AA86" s="198">
        <f>+(AA87+AA88+AA89+AA90)*E86</f>
        <v>4.3750000000000004E-2</v>
      </c>
      <c r="AB86" s="198">
        <f>+(AB87+AB88+AB89+AB90)</f>
        <v>0.63250000000000006</v>
      </c>
      <c r="AC86" s="663"/>
      <c r="AD86" s="192"/>
      <c r="AE86" s="192"/>
      <c r="AF86" s="192"/>
      <c r="AG86" s="192"/>
      <c r="AH86" s="192"/>
      <c r="AI86" s="186"/>
      <c r="AJ86" s="180"/>
      <c r="AK86" s="180"/>
      <c r="AL86" s="180"/>
      <c r="AM86" s="180"/>
      <c r="AN86" s="180"/>
      <c r="AO86" s="180"/>
      <c r="AP86" s="180"/>
      <c r="AQ86" s="180"/>
      <c r="AR86" s="180"/>
      <c r="AS86" s="180"/>
      <c r="AT86" s="180"/>
      <c r="AU86" s="180"/>
      <c r="AV86" s="180"/>
      <c r="AW86" s="180"/>
      <c r="AX86" s="180"/>
      <c r="AY86" s="180"/>
      <c r="AZ86" s="180"/>
      <c r="BA86" s="180"/>
      <c r="BB86" s="180"/>
      <c r="BC86" s="180"/>
    </row>
    <row r="87" spans="1:55" ht="111" customHeight="1" thickBot="1" x14ac:dyDescent="0.4">
      <c r="A87" s="184"/>
      <c r="B87" s="1012" t="s">
        <v>753</v>
      </c>
      <c r="C87" s="1254" t="s">
        <v>1452</v>
      </c>
      <c r="D87" s="214" t="s">
        <v>754</v>
      </c>
      <c r="E87" s="203">
        <v>0.2</v>
      </c>
      <c r="F87" s="204">
        <v>4</v>
      </c>
      <c r="G87" s="199">
        <v>1</v>
      </c>
      <c r="H87" s="199">
        <v>1</v>
      </c>
      <c r="I87" s="205">
        <f>+G87/F87</f>
        <v>0.25</v>
      </c>
      <c r="J87" s="205">
        <f t="shared" si="67"/>
        <v>0.25</v>
      </c>
      <c r="K87" s="205">
        <f>+(G87/F87)*E87</f>
        <v>0.05</v>
      </c>
      <c r="L87" s="205">
        <f t="shared" si="68"/>
        <v>0.05</v>
      </c>
      <c r="M87" s="199">
        <v>1</v>
      </c>
      <c r="N87" s="595">
        <v>0</v>
      </c>
      <c r="O87" s="595">
        <v>0</v>
      </c>
      <c r="P87" s="595">
        <v>0</v>
      </c>
      <c r="Q87" s="595">
        <v>0</v>
      </c>
      <c r="R87" s="595">
        <v>0</v>
      </c>
      <c r="S87" s="199">
        <f t="shared" si="36"/>
        <v>0</v>
      </c>
      <c r="T87" s="199">
        <f t="shared" si="69"/>
        <v>1</v>
      </c>
      <c r="U87" s="223">
        <f>+(M87/G87)</f>
        <v>1</v>
      </c>
      <c r="V87" s="223">
        <f t="shared" si="76"/>
        <v>0</v>
      </c>
      <c r="W87" s="223">
        <f>+U87*E87</f>
        <v>0.2</v>
      </c>
      <c r="X87" s="223">
        <f t="shared" si="74"/>
        <v>0</v>
      </c>
      <c r="Y87" s="223">
        <f>+M87/F87</f>
        <v>0.25</v>
      </c>
      <c r="Z87" s="223">
        <f t="shared" si="75"/>
        <v>0.25</v>
      </c>
      <c r="AA87" s="223">
        <f>+Y87*E87</f>
        <v>0.05</v>
      </c>
      <c r="AB87" s="223">
        <f>+Z87*E87</f>
        <v>0.05</v>
      </c>
      <c r="AC87" s="663"/>
      <c r="AD87" s="618" t="s">
        <v>1942</v>
      </c>
      <c r="AE87" s="1100" t="s">
        <v>2280</v>
      </c>
      <c r="AF87" s="1100" t="s">
        <v>2296</v>
      </c>
      <c r="AG87" s="1100" t="s">
        <v>2412</v>
      </c>
      <c r="AH87" s="1100" t="s">
        <v>2447</v>
      </c>
      <c r="AI87" s="186"/>
      <c r="AJ87" s="180"/>
      <c r="AK87" s="180"/>
      <c r="AL87" s="180"/>
      <c r="AM87" s="180"/>
      <c r="AN87" s="180"/>
      <c r="AO87" s="180"/>
      <c r="AP87" s="180"/>
      <c r="AQ87" s="180"/>
      <c r="AR87" s="180"/>
      <c r="AS87" s="180"/>
      <c r="AT87" s="180"/>
      <c r="AU87" s="180"/>
      <c r="AV87" s="180"/>
      <c r="AW87" s="180"/>
      <c r="AX87" s="180"/>
      <c r="AY87" s="180"/>
      <c r="AZ87" s="180"/>
      <c r="BA87" s="180"/>
      <c r="BB87" s="180"/>
      <c r="BC87" s="180"/>
    </row>
    <row r="88" spans="1:55" ht="117.6" customHeight="1" thickBot="1" x14ac:dyDescent="0.4">
      <c r="A88" s="184"/>
      <c r="B88" s="1012" t="s">
        <v>755</v>
      </c>
      <c r="C88" s="1254" t="s">
        <v>1453</v>
      </c>
      <c r="D88" s="214" t="s">
        <v>754</v>
      </c>
      <c r="E88" s="203">
        <v>0.45</v>
      </c>
      <c r="F88" s="204">
        <v>60</v>
      </c>
      <c r="G88" s="199">
        <v>15</v>
      </c>
      <c r="H88" s="199">
        <v>15</v>
      </c>
      <c r="I88" s="205">
        <f>+G88/F88</f>
        <v>0.25</v>
      </c>
      <c r="J88" s="205">
        <f t="shared" si="67"/>
        <v>0.25</v>
      </c>
      <c r="K88" s="205">
        <f>+(G88/F88)*E88</f>
        <v>0.1125</v>
      </c>
      <c r="L88" s="205">
        <f t="shared" si="68"/>
        <v>0.1125</v>
      </c>
      <c r="M88" s="199">
        <v>15</v>
      </c>
      <c r="N88" s="595">
        <v>0</v>
      </c>
      <c r="O88" s="595">
        <v>15</v>
      </c>
      <c r="P88" s="595">
        <v>0</v>
      </c>
      <c r="Q88" s="595">
        <v>0</v>
      </c>
      <c r="R88" s="595">
        <v>1</v>
      </c>
      <c r="S88" s="199">
        <f t="shared" si="36"/>
        <v>16</v>
      </c>
      <c r="T88" s="199">
        <f t="shared" si="69"/>
        <v>31</v>
      </c>
      <c r="U88" s="223">
        <f>+(M88/G88)</f>
        <v>1</v>
      </c>
      <c r="V88" s="223">
        <v>1</v>
      </c>
      <c r="W88" s="223">
        <f>+U88*E88</f>
        <v>0.45</v>
      </c>
      <c r="X88" s="223">
        <f t="shared" si="74"/>
        <v>0.45</v>
      </c>
      <c r="Y88" s="223">
        <f>+M88/F88</f>
        <v>0.25</v>
      </c>
      <c r="Z88" s="223">
        <f>+T88/F88</f>
        <v>0.51666666666666672</v>
      </c>
      <c r="AA88" s="223">
        <f>+Y88*E88</f>
        <v>0.1125</v>
      </c>
      <c r="AB88" s="223">
        <f>+Z88*E88</f>
        <v>0.23250000000000004</v>
      </c>
      <c r="AC88" s="663"/>
      <c r="AD88" s="618" t="s">
        <v>1942</v>
      </c>
      <c r="AE88" s="1100" t="s">
        <v>2281</v>
      </c>
      <c r="AF88" s="1100" t="s">
        <v>2296</v>
      </c>
      <c r="AG88" s="1100" t="s">
        <v>2412</v>
      </c>
      <c r="AH88" s="1100" t="s">
        <v>2447</v>
      </c>
      <c r="AI88" s="186"/>
      <c r="AJ88" s="180"/>
      <c r="AK88" s="180"/>
      <c r="AL88" s="180"/>
      <c r="AM88" s="180"/>
      <c r="AN88" s="180"/>
      <c r="AO88" s="180"/>
      <c r="AP88" s="180"/>
      <c r="AQ88" s="180"/>
      <c r="AR88" s="180"/>
      <c r="AS88" s="180"/>
      <c r="AT88" s="180"/>
      <c r="AU88" s="180"/>
      <c r="AV88" s="180"/>
      <c r="AW88" s="180"/>
      <c r="AX88" s="180"/>
      <c r="AY88" s="180"/>
      <c r="AZ88" s="180"/>
      <c r="BA88" s="180"/>
      <c r="BB88" s="180"/>
      <c r="BC88" s="180"/>
    </row>
    <row r="89" spans="1:55" ht="108.6" customHeight="1" thickBot="1" x14ac:dyDescent="0.4">
      <c r="A89" s="184"/>
      <c r="B89" s="1012" t="s">
        <v>756</v>
      </c>
      <c r="C89" s="1254" t="s">
        <v>1454</v>
      </c>
      <c r="D89" s="214" t="s">
        <v>754</v>
      </c>
      <c r="E89" s="203">
        <v>0.1</v>
      </c>
      <c r="F89" s="204">
        <v>4</v>
      </c>
      <c r="G89" s="199">
        <v>1</v>
      </c>
      <c r="H89" s="199">
        <v>1</v>
      </c>
      <c r="I89" s="205">
        <f>+G89/F89</f>
        <v>0.25</v>
      </c>
      <c r="J89" s="205">
        <f t="shared" si="67"/>
        <v>0.25</v>
      </c>
      <c r="K89" s="205">
        <f>+(G89/F89)*E89</f>
        <v>2.5000000000000001E-2</v>
      </c>
      <c r="L89" s="205">
        <f>+(H89/F89)*E89</f>
        <v>2.5000000000000001E-2</v>
      </c>
      <c r="M89" s="199">
        <v>3</v>
      </c>
      <c r="N89" s="595">
        <v>0</v>
      </c>
      <c r="O89" s="595">
        <v>1</v>
      </c>
      <c r="P89" s="595">
        <v>0</v>
      </c>
      <c r="Q89" s="595">
        <v>0</v>
      </c>
      <c r="R89" s="595">
        <v>0</v>
      </c>
      <c r="S89" s="199">
        <f t="shared" si="36"/>
        <v>1</v>
      </c>
      <c r="T89" s="199">
        <f t="shared" si="69"/>
        <v>4</v>
      </c>
      <c r="U89" s="223">
        <v>1</v>
      </c>
      <c r="V89" s="223">
        <f t="shared" si="76"/>
        <v>1</v>
      </c>
      <c r="W89" s="223">
        <f>+U89*E89</f>
        <v>0.1</v>
      </c>
      <c r="X89" s="223">
        <f t="shared" si="74"/>
        <v>0.1</v>
      </c>
      <c r="Y89" s="223">
        <f>+M89/F89</f>
        <v>0.75</v>
      </c>
      <c r="Z89" s="223">
        <f t="shared" si="75"/>
        <v>1</v>
      </c>
      <c r="AA89" s="223">
        <f>+Y89*E89</f>
        <v>7.5000000000000011E-2</v>
      </c>
      <c r="AB89" s="223">
        <f>+Z89*E89</f>
        <v>0.1</v>
      </c>
      <c r="AC89" s="663"/>
      <c r="AD89" s="1100" t="s">
        <v>1893</v>
      </c>
      <c r="AE89" s="1100" t="s">
        <v>1591</v>
      </c>
      <c r="AF89" s="618" t="s">
        <v>2311</v>
      </c>
      <c r="AG89" s="1100" t="s">
        <v>2412</v>
      </c>
      <c r="AH89" s="1100" t="s">
        <v>2447</v>
      </c>
      <c r="AI89" s="186"/>
      <c r="AJ89" s="180"/>
      <c r="AK89" s="180"/>
      <c r="AL89" s="180"/>
      <c r="AM89" s="180"/>
      <c r="AN89" s="180"/>
      <c r="AO89" s="180"/>
      <c r="AP89" s="180"/>
      <c r="AQ89" s="180"/>
      <c r="AR89" s="180"/>
      <c r="AS89" s="180"/>
      <c r="AT89" s="180"/>
      <c r="AU89" s="180"/>
      <c r="AV89" s="180"/>
      <c r="AW89" s="180"/>
      <c r="AX89" s="180"/>
      <c r="AY89" s="180"/>
      <c r="AZ89" s="180"/>
      <c r="BA89" s="180"/>
      <c r="BB89" s="180"/>
      <c r="BC89" s="180"/>
    </row>
    <row r="90" spans="1:55" ht="66.599999999999994" customHeight="1" thickBot="1" x14ac:dyDescent="0.4">
      <c r="A90" s="184"/>
      <c r="B90" s="1012" t="s">
        <v>757</v>
      </c>
      <c r="C90" s="1254" t="s">
        <v>1455</v>
      </c>
      <c r="D90" s="214" t="s">
        <v>754</v>
      </c>
      <c r="E90" s="203">
        <v>0.25</v>
      </c>
      <c r="F90" s="204">
        <v>5</v>
      </c>
      <c r="G90" s="199">
        <v>1</v>
      </c>
      <c r="H90" s="199">
        <v>1</v>
      </c>
      <c r="I90" s="205">
        <f>+G90/F90</f>
        <v>0.2</v>
      </c>
      <c r="J90" s="205">
        <f t="shared" si="67"/>
        <v>0.2</v>
      </c>
      <c r="K90" s="205">
        <f>+(G90/F90)*E90</f>
        <v>0.05</v>
      </c>
      <c r="L90" s="205">
        <f t="shared" si="68"/>
        <v>0.05</v>
      </c>
      <c r="M90" s="199">
        <v>4</v>
      </c>
      <c r="N90" s="595">
        <v>0</v>
      </c>
      <c r="O90" s="595">
        <v>1</v>
      </c>
      <c r="P90" s="595">
        <v>0</v>
      </c>
      <c r="Q90" s="595">
        <v>0</v>
      </c>
      <c r="R90" s="595">
        <v>0</v>
      </c>
      <c r="S90" s="199">
        <f t="shared" si="36"/>
        <v>1</v>
      </c>
      <c r="T90" s="199">
        <f t="shared" si="69"/>
        <v>5</v>
      </c>
      <c r="U90" s="223">
        <v>1</v>
      </c>
      <c r="V90" s="223">
        <f t="shared" si="76"/>
        <v>1</v>
      </c>
      <c r="W90" s="223">
        <f>+U90*E90</f>
        <v>0.25</v>
      </c>
      <c r="X90" s="223">
        <f t="shared" si="74"/>
        <v>0.25</v>
      </c>
      <c r="Y90" s="223">
        <f>+M90/F90</f>
        <v>0.8</v>
      </c>
      <c r="Z90" s="223">
        <f t="shared" si="75"/>
        <v>1</v>
      </c>
      <c r="AA90" s="223">
        <f>+Y90*E90</f>
        <v>0.2</v>
      </c>
      <c r="AB90" s="223">
        <f>+Z90*E90</f>
        <v>0.25</v>
      </c>
      <c r="AC90" s="663"/>
      <c r="AD90" s="1100" t="s">
        <v>1893</v>
      </c>
      <c r="AE90" s="1100" t="s">
        <v>1591</v>
      </c>
      <c r="AF90" s="618" t="s">
        <v>2311</v>
      </c>
      <c r="AG90" s="618" t="s">
        <v>2311</v>
      </c>
      <c r="AH90" s="1100" t="s">
        <v>2447</v>
      </c>
      <c r="AI90" s="186"/>
      <c r="AJ90" s="180"/>
      <c r="AK90" s="180"/>
      <c r="AL90" s="180"/>
      <c r="AM90" s="180"/>
      <c r="AN90" s="180"/>
      <c r="AO90" s="180"/>
      <c r="AP90" s="180"/>
      <c r="AQ90" s="180"/>
      <c r="AR90" s="180"/>
      <c r="AS90" s="180"/>
      <c r="AT90" s="180"/>
      <c r="AU90" s="180"/>
      <c r="AV90" s="180"/>
      <c r="AW90" s="180"/>
      <c r="AX90" s="180"/>
      <c r="AY90" s="180"/>
      <c r="AZ90" s="180"/>
      <c r="BA90" s="180"/>
      <c r="BB90" s="180"/>
      <c r="BC90" s="180"/>
    </row>
    <row r="91" spans="1:55" ht="57" customHeight="1" thickBot="1" x14ac:dyDescent="0.4">
      <c r="A91" s="184"/>
      <c r="B91" s="1319" t="s">
        <v>1716</v>
      </c>
      <c r="C91" s="1320"/>
      <c r="D91" s="214"/>
      <c r="E91" s="195">
        <v>0.3</v>
      </c>
      <c r="F91" s="216"/>
      <c r="G91" s="192"/>
      <c r="H91" s="192"/>
      <c r="I91" s="198"/>
      <c r="J91" s="198">
        <f>+AVERAGE(J92:J95)</f>
        <v>0.36958333333333332</v>
      </c>
      <c r="K91" s="198"/>
      <c r="L91" s="198">
        <f>+L92+L93+L94+L95</f>
        <v>0.33691666666666664</v>
      </c>
      <c r="M91" s="197"/>
      <c r="N91" s="197"/>
      <c r="O91" s="197"/>
      <c r="P91" s="197"/>
      <c r="Q91" s="197"/>
      <c r="R91" s="1210"/>
      <c r="S91" s="199"/>
      <c r="T91" s="197"/>
      <c r="U91" s="221"/>
      <c r="V91" s="221">
        <f>+AVERAGE(V92:V95)</f>
        <v>0.9458333333333333</v>
      </c>
      <c r="W91" s="221"/>
      <c r="X91" s="221">
        <f>+(X92+X93+X94+X95)*E91</f>
        <v>0.26749999999999996</v>
      </c>
      <c r="Y91" s="198"/>
      <c r="Z91" s="198">
        <f>+AVERAGE(Z92:Z95)</f>
        <v>0.35152777777777777</v>
      </c>
      <c r="AA91" s="198"/>
      <c r="AB91" s="198">
        <f>+(AB92+AB93+AB94+AB95)</f>
        <v>0.30080555555555555</v>
      </c>
      <c r="AC91" s="663"/>
      <c r="AD91" s="192"/>
      <c r="AE91" s="192"/>
      <c r="AF91" s="192"/>
      <c r="AG91" s="192"/>
      <c r="AH91" s="192"/>
      <c r="AI91" s="186"/>
      <c r="AJ91" s="180"/>
      <c r="AK91" s="180"/>
      <c r="AL91" s="180"/>
      <c r="AM91" s="180"/>
      <c r="AN91" s="180"/>
      <c r="AO91" s="180"/>
      <c r="AP91" s="180"/>
      <c r="AQ91" s="180"/>
      <c r="AR91" s="180"/>
      <c r="AS91" s="180"/>
      <c r="AT91" s="180"/>
      <c r="AU91" s="180"/>
      <c r="AV91" s="180"/>
      <c r="AW91" s="180"/>
      <c r="AX91" s="180"/>
      <c r="AY91" s="180"/>
      <c r="AZ91" s="180"/>
      <c r="BA91" s="180"/>
      <c r="BB91" s="180"/>
      <c r="BC91" s="180"/>
    </row>
    <row r="92" spans="1:55" ht="106.8" customHeight="1" thickBot="1" x14ac:dyDescent="0.4">
      <c r="A92" s="184"/>
      <c r="B92" s="1032" t="s">
        <v>758</v>
      </c>
      <c r="C92" s="1135" t="s">
        <v>1456</v>
      </c>
      <c r="D92" s="234" t="s">
        <v>759</v>
      </c>
      <c r="E92" s="203">
        <v>0.5</v>
      </c>
      <c r="F92" s="204">
        <v>9</v>
      </c>
      <c r="G92" s="199">
        <v>0</v>
      </c>
      <c r="H92" s="199">
        <v>3</v>
      </c>
      <c r="I92" s="205"/>
      <c r="J92" s="205">
        <f t="shared" si="67"/>
        <v>0.33333333333333331</v>
      </c>
      <c r="K92" s="205"/>
      <c r="L92" s="205">
        <f t="shared" si="68"/>
        <v>0.16666666666666666</v>
      </c>
      <c r="M92" s="199"/>
      <c r="N92" s="595">
        <v>0</v>
      </c>
      <c r="O92" s="595">
        <v>0.35</v>
      </c>
      <c r="P92" s="595">
        <v>0</v>
      </c>
      <c r="Q92" s="595">
        <v>0</v>
      </c>
      <c r="R92" s="595">
        <v>2</v>
      </c>
      <c r="S92" s="199">
        <f t="shared" si="36"/>
        <v>2.35</v>
      </c>
      <c r="T92" s="199">
        <f t="shared" si="69"/>
        <v>2.35</v>
      </c>
      <c r="U92" s="223"/>
      <c r="V92" s="223">
        <f t="shared" si="76"/>
        <v>0.78333333333333333</v>
      </c>
      <c r="W92" s="223"/>
      <c r="X92" s="223">
        <f t="shared" si="74"/>
        <v>0.39166666666666666</v>
      </c>
      <c r="Y92" s="223"/>
      <c r="Z92" s="223">
        <f t="shared" si="75"/>
        <v>0.26111111111111113</v>
      </c>
      <c r="AA92" s="223"/>
      <c r="AB92" s="223">
        <f>+Z92*E92</f>
        <v>0.13055555555555556</v>
      </c>
      <c r="AC92" s="663" t="s">
        <v>1577</v>
      </c>
      <c r="AD92" s="192"/>
      <c r="AE92" s="1100" t="s">
        <v>2275</v>
      </c>
      <c r="AF92" s="1100" t="s">
        <v>2296</v>
      </c>
      <c r="AG92" s="1100" t="s">
        <v>2412</v>
      </c>
      <c r="AH92" s="1100" t="s">
        <v>2467</v>
      </c>
      <c r="AI92" s="1100" t="s">
        <v>2564</v>
      </c>
      <c r="AJ92" s="180"/>
      <c r="AK92" s="180"/>
      <c r="AL92" s="180"/>
      <c r="AM92" s="180"/>
      <c r="AN92" s="180"/>
      <c r="AO92" s="180"/>
      <c r="AP92" s="180"/>
      <c r="AQ92" s="180"/>
      <c r="AR92" s="180"/>
      <c r="AS92" s="180"/>
      <c r="AT92" s="180"/>
      <c r="AU92" s="180"/>
      <c r="AV92" s="180"/>
      <c r="AW92" s="180"/>
      <c r="AX92" s="180"/>
      <c r="AY92" s="180"/>
      <c r="AZ92" s="180"/>
      <c r="BA92" s="180"/>
      <c r="BB92" s="180"/>
      <c r="BC92" s="180"/>
    </row>
    <row r="93" spans="1:55" ht="85.2" customHeight="1" thickBot="1" x14ac:dyDescent="0.4">
      <c r="A93" s="184"/>
      <c r="B93" s="1012" t="s">
        <v>760</v>
      </c>
      <c r="C93" s="1254" t="s">
        <v>1457</v>
      </c>
      <c r="D93" s="213" t="s">
        <v>736</v>
      </c>
      <c r="E93" s="203">
        <v>0.05</v>
      </c>
      <c r="F93" s="204">
        <v>2</v>
      </c>
      <c r="G93" s="199">
        <v>0</v>
      </c>
      <c r="H93" s="199">
        <v>1</v>
      </c>
      <c r="I93" s="205"/>
      <c r="J93" s="205">
        <f t="shared" si="67"/>
        <v>0.5</v>
      </c>
      <c r="K93" s="205"/>
      <c r="L93" s="205">
        <f>+(H93/F93)*E93</f>
        <v>2.5000000000000001E-2</v>
      </c>
      <c r="M93" s="199"/>
      <c r="N93" s="595">
        <v>0</v>
      </c>
      <c r="O93" s="595">
        <v>0.27</v>
      </c>
      <c r="P93" s="595">
        <v>0.73</v>
      </c>
      <c r="Q93" s="595">
        <v>0</v>
      </c>
      <c r="R93" s="595">
        <v>0</v>
      </c>
      <c r="S93" s="199">
        <f t="shared" si="36"/>
        <v>1</v>
      </c>
      <c r="T93" s="199">
        <f t="shared" si="69"/>
        <v>1</v>
      </c>
      <c r="U93" s="223"/>
      <c r="V93" s="223">
        <f t="shared" si="76"/>
        <v>1</v>
      </c>
      <c r="W93" s="223"/>
      <c r="X93" s="223">
        <f t="shared" si="74"/>
        <v>0.05</v>
      </c>
      <c r="Y93" s="223"/>
      <c r="Z93" s="223">
        <f t="shared" si="75"/>
        <v>0.5</v>
      </c>
      <c r="AA93" s="223"/>
      <c r="AB93" s="223">
        <f>+Z93*E93</f>
        <v>2.5000000000000001E-2</v>
      </c>
      <c r="AC93" s="663" t="s">
        <v>1576</v>
      </c>
      <c r="AD93" s="1101" t="s">
        <v>1893</v>
      </c>
      <c r="AE93" s="1100" t="s">
        <v>2275</v>
      </c>
      <c r="AF93" s="1100" t="s">
        <v>2296</v>
      </c>
      <c r="AG93" s="1100" t="s">
        <v>2412</v>
      </c>
      <c r="AH93" s="1100" t="s">
        <v>2447</v>
      </c>
      <c r="AI93" s="1100" t="s">
        <v>2564</v>
      </c>
      <c r="AJ93" s="180"/>
      <c r="AK93" s="180"/>
      <c r="AL93" s="180"/>
      <c r="AM93" s="180"/>
      <c r="AN93" s="180"/>
      <c r="AO93" s="180"/>
      <c r="AP93" s="180"/>
      <c r="AQ93" s="180"/>
      <c r="AR93" s="180"/>
      <c r="AS93" s="180"/>
      <c r="AT93" s="180"/>
      <c r="AU93" s="180"/>
      <c r="AV93" s="180"/>
      <c r="AW93" s="180"/>
      <c r="AX93" s="180"/>
      <c r="AY93" s="180"/>
      <c r="AZ93" s="180"/>
      <c r="BA93" s="180"/>
      <c r="BB93" s="180"/>
      <c r="BC93" s="180"/>
    </row>
    <row r="94" spans="1:55" ht="76.95" customHeight="1" thickBot="1" x14ac:dyDescent="0.4">
      <c r="A94" s="184"/>
      <c r="B94" s="1012" t="s">
        <v>761</v>
      </c>
      <c r="C94" s="1254" t="s">
        <v>1458</v>
      </c>
      <c r="D94" s="214" t="s">
        <v>736</v>
      </c>
      <c r="E94" s="203">
        <v>0.25</v>
      </c>
      <c r="F94" s="204">
        <v>80</v>
      </c>
      <c r="G94" s="199">
        <v>0</v>
      </c>
      <c r="H94" s="199">
        <v>26</v>
      </c>
      <c r="I94" s="205"/>
      <c r="J94" s="205">
        <f t="shared" si="67"/>
        <v>0.32500000000000001</v>
      </c>
      <c r="K94" s="205"/>
      <c r="L94" s="205">
        <f>+(H94/F94)*E94</f>
        <v>8.1250000000000003E-2</v>
      </c>
      <c r="M94" s="199"/>
      <c r="N94" s="595">
        <v>0</v>
      </c>
      <c r="O94" s="595">
        <v>0</v>
      </c>
      <c r="P94" s="595">
        <v>0</v>
      </c>
      <c r="Q94" s="595">
        <v>0</v>
      </c>
      <c r="R94" s="595">
        <v>26</v>
      </c>
      <c r="S94" s="199">
        <f t="shared" si="36"/>
        <v>26</v>
      </c>
      <c r="T94" s="199">
        <f t="shared" si="69"/>
        <v>26</v>
      </c>
      <c r="U94" s="223"/>
      <c r="V94" s="223">
        <f t="shared" si="76"/>
        <v>1</v>
      </c>
      <c r="W94" s="223"/>
      <c r="X94" s="223">
        <f t="shared" si="74"/>
        <v>0.25</v>
      </c>
      <c r="Y94" s="223"/>
      <c r="Z94" s="223">
        <f t="shared" si="75"/>
        <v>0.32500000000000001</v>
      </c>
      <c r="AA94" s="223"/>
      <c r="AB94" s="223">
        <f>+Z94*E94</f>
        <v>8.1250000000000003E-2</v>
      </c>
      <c r="AC94" s="663" t="s">
        <v>1576</v>
      </c>
      <c r="AD94" s="1101" t="s">
        <v>1893</v>
      </c>
      <c r="AE94" s="1100" t="s">
        <v>2275</v>
      </c>
      <c r="AF94" s="1100" t="s">
        <v>2296</v>
      </c>
      <c r="AG94" s="1100" t="s">
        <v>2412</v>
      </c>
      <c r="AH94" s="1100" t="s">
        <v>2447</v>
      </c>
      <c r="AI94" s="1100" t="s">
        <v>2564</v>
      </c>
      <c r="AJ94" s="180"/>
      <c r="AK94" s="180"/>
      <c r="AL94" s="180"/>
      <c r="AM94" s="180"/>
      <c r="AN94" s="180"/>
      <c r="AO94" s="180"/>
      <c r="AP94" s="180"/>
      <c r="AQ94" s="180"/>
      <c r="AR94" s="180"/>
      <c r="AS94" s="180"/>
      <c r="AT94" s="180"/>
      <c r="AU94" s="180"/>
      <c r="AV94" s="180"/>
      <c r="AW94" s="180"/>
      <c r="AX94" s="180"/>
      <c r="AY94" s="180"/>
      <c r="AZ94" s="180"/>
      <c r="BA94" s="180"/>
      <c r="BB94" s="180"/>
      <c r="BC94" s="180"/>
    </row>
    <row r="95" spans="1:55" ht="87.6" customHeight="1" thickBot="1" x14ac:dyDescent="0.4">
      <c r="A95" s="184"/>
      <c r="B95" s="1280" t="s">
        <v>762</v>
      </c>
      <c r="C95" s="1281" t="s">
        <v>1459</v>
      </c>
      <c r="D95" s="224" t="s">
        <v>736</v>
      </c>
      <c r="E95" s="203">
        <v>0.2</v>
      </c>
      <c r="F95" s="204">
        <v>25</v>
      </c>
      <c r="G95" s="199">
        <v>0</v>
      </c>
      <c r="H95" s="199">
        <v>8</v>
      </c>
      <c r="I95" s="205"/>
      <c r="J95" s="205">
        <f t="shared" si="67"/>
        <v>0.32</v>
      </c>
      <c r="K95" s="205"/>
      <c r="L95" s="205">
        <f t="shared" si="68"/>
        <v>6.4000000000000001E-2</v>
      </c>
      <c r="M95" s="199"/>
      <c r="N95" s="595">
        <v>0</v>
      </c>
      <c r="O95" s="595">
        <v>0</v>
      </c>
      <c r="P95" s="595">
        <v>0</v>
      </c>
      <c r="Q95" s="595">
        <v>0</v>
      </c>
      <c r="R95" s="595">
        <v>8</v>
      </c>
      <c r="S95" s="199">
        <f t="shared" si="36"/>
        <v>8</v>
      </c>
      <c r="T95" s="199">
        <f t="shared" si="69"/>
        <v>8</v>
      </c>
      <c r="U95" s="223"/>
      <c r="V95" s="223">
        <f>+S95/H95</f>
        <v>1</v>
      </c>
      <c r="W95" s="223"/>
      <c r="X95" s="223">
        <f t="shared" si="74"/>
        <v>0.2</v>
      </c>
      <c r="Y95" s="223"/>
      <c r="Z95" s="223">
        <f t="shared" si="75"/>
        <v>0.32</v>
      </c>
      <c r="AA95" s="223"/>
      <c r="AB95" s="223">
        <f>+Z95*E95</f>
        <v>6.4000000000000001E-2</v>
      </c>
      <c r="AC95" s="663" t="s">
        <v>1576</v>
      </c>
      <c r="AD95" s="1101" t="s">
        <v>1893</v>
      </c>
      <c r="AE95" s="1100" t="s">
        <v>2275</v>
      </c>
      <c r="AF95" s="1100" t="s">
        <v>2296</v>
      </c>
      <c r="AG95" s="1100" t="s">
        <v>2412</v>
      </c>
      <c r="AH95" s="1100" t="s">
        <v>2447</v>
      </c>
      <c r="AI95" s="1100" t="s">
        <v>2564</v>
      </c>
      <c r="AJ95" s="180"/>
      <c r="AK95" s="180"/>
      <c r="AL95" s="180"/>
      <c r="AM95" s="180"/>
      <c r="AN95" s="180"/>
      <c r="AO95" s="180"/>
      <c r="AP95" s="180"/>
      <c r="AQ95" s="180"/>
      <c r="AR95" s="180"/>
      <c r="AS95" s="180"/>
      <c r="AT95" s="180"/>
      <c r="AU95" s="180"/>
      <c r="AV95" s="180"/>
      <c r="AW95" s="180"/>
      <c r="AX95" s="180"/>
      <c r="AY95" s="180"/>
      <c r="AZ95" s="180"/>
      <c r="BA95" s="180"/>
      <c r="BB95" s="180"/>
      <c r="BC95" s="180"/>
    </row>
    <row r="96" spans="1:55" ht="100.5" customHeight="1" thickBot="1" x14ac:dyDescent="0.4">
      <c r="A96" s="184"/>
      <c r="B96" s="1332" t="s">
        <v>1717</v>
      </c>
      <c r="C96" s="1328"/>
      <c r="D96" s="225"/>
      <c r="E96" s="195">
        <v>0.15</v>
      </c>
      <c r="F96" s="216"/>
      <c r="G96" s="192"/>
      <c r="H96" s="192"/>
      <c r="I96" s="198">
        <f>+AVERAGE(I97:I99)*0.33</f>
        <v>0.33</v>
      </c>
      <c r="J96" s="198">
        <f>+AVERAGE(J97:J99)</f>
        <v>1</v>
      </c>
      <c r="K96" s="198">
        <f>+K97+K98+K99</f>
        <v>0.8</v>
      </c>
      <c r="L96" s="198">
        <f>+L97+L98+L99</f>
        <v>1</v>
      </c>
      <c r="M96" s="197"/>
      <c r="N96" s="197"/>
      <c r="O96" s="197"/>
      <c r="P96" s="197"/>
      <c r="Q96" s="197"/>
      <c r="R96" s="1210"/>
      <c r="S96" s="199"/>
      <c r="T96" s="197"/>
      <c r="U96" s="221">
        <f>+AVERAGE(U97:U99)</f>
        <v>1</v>
      </c>
      <c r="V96" s="221">
        <f>+AVERAGE(V97:V99)</f>
        <v>0.60666666666666669</v>
      </c>
      <c r="W96" s="221">
        <f>+(W97+W98+W99)*E96</f>
        <v>0.12</v>
      </c>
      <c r="X96" s="221">
        <f>+(X97+X98+X99)*E96</f>
        <v>0.10590000000000002</v>
      </c>
      <c r="Y96" s="198">
        <f>+AVERAGE(Y97:Y99)</f>
        <v>0.33</v>
      </c>
      <c r="Z96" s="198">
        <f>+AVERAGE(Z97:Z99)</f>
        <v>0.66666666666666663</v>
      </c>
      <c r="AA96" s="198">
        <f>+(AA97+AA98+AA99)*E96</f>
        <v>3.9600000000000003E-2</v>
      </c>
      <c r="AB96" s="198">
        <f>+(AB97+AB98+AB99)</f>
        <v>0.85000000000000009</v>
      </c>
      <c r="AC96" s="663"/>
      <c r="AD96" s="192"/>
      <c r="AE96" s="192"/>
      <c r="AF96" s="192"/>
      <c r="AG96" s="192"/>
      <c r="AH96" s="192"/>
      <c r="AI96" s="186"/>
      <c r="AJ96" s="180"/>
      <c r="AK96" s="180"/>
      <c r="AL96" s="180"/>
      <c r="AM96" s="180"/>
      <c r="AN96" s="180"/>
      <c r="AO96" s="180"/>
      <c r="AP96" s="180"/>
      <c r="AQ96" s="180"/>
      <c r="AR96" s="180"/>
      <c r="AS96" s="180"/>
      <c r="AT96" s="180"/>
      <c r="AU96" s="180"/>
      <c r="AV96" s="180"/>
      <c r="AW96" s="180"/>
      <c r="AX96" s="180"/>
      <c r="AY96" s="180"/>
      <c r="AZ96" s="180"/>
      <c r="BA96" s="180"/>
      <c r="BB96" s="180"/>
      <c r="BC96" s="180"/>
    </row>
    <row r="97" spans="1:55" ht="91.2" customHeight="1" thickBot="1" x14ac:dyDescent="0.4">
      <c r="A97" s="184"/>
      <c r="B97" s="1280" t="s">
        <v>763</v>
      </c>
      <c r="C97" s="1281" t="s">
        <v>1460</v>
      </c>
      <c r="D97" s="231" t="s">
        <v>736</v>
      </c>
      <c r="E97" s="203">
        <v>0.8</v>
      </c>
      <c r="F97" s="204">
        <v>1</v>
      </c>
      <c r="G97" s="199">
        <v>1</v>
      </c>
      <c r="H97" s="199">
        <v>1</v>
      </c>
      <c r="I97" s="205">
        <f>+G97/F97</f>
        <v>1</v>
      </c>
      <c r="J97" s="205">
        <f t="shared" ref="J97:J99" si="77">+H97/F97</f>
        <v>1</v>
      </c>
      <c r="K97" s="205">
        <f>+(G97/F97)*E97</f>
        <v>0.8</v>
      </c>
      <c r="L97" s="205">
        <f t="shared" si="68"/>
        <v>0.8</v>
      </c>
      <c r="M97" s="235">
        <v>1</v>
      </c>
      <c r="N97" s="597">
        <v>0</v>
      </c>
      <c r="O97" s="597">
        <v>0.47</v>
      </c>
      <c r="P97" s="597">
        <v>0.33</v>
      </c>
      <c r="Q97" s="597">
        <v>0.02</v>
      </c>
      <c r="R97" s="597"/>
      <c r="S97" s="235">
        <f t="shared" si="36"/>
        <v>0.82000000000000006</v>
      </c>
      <c r="T97" s="235">
        <f t="shared" si="69"/>
        <v>1.82</v>
      </c>
      <c r="U97" s="205">
        <f>+(M97/G97)</f>
        <v>1</v>
      </c>
      <c r="V97" s="205">
        <f t="shared" si="76"/>
        <v>0.82000000000000006</v>
      </c>
      <c r="W97" s="207">
        <f>+U97*E97</f>
        <v>0.8</v>
      </c>
      <c r="X97" s="207">
        <f t="shared" si="74"/>
        <v>0.65600000000000014</v>
      </c>
      <c r="Y97" s="205">
        <f>+(M97/F97)*0.33</f>
        <v>0.33</v>
      </c>
      <c r="Z97" s="205">
        <v>1</v>
      </c>
      <c r="AA97" s="205">
        <f>+Y97*E97</f>
        <v>0.26400000000000001</v>
      </c>
      <c r="AB97" s="205">
        <f>+Z97*E97</f>
        <v>0.8</v>
      </c>
      <c r="AC97" s="636" t="s">
        <v>1850</v>
      </c>
      <c r="AD97" s="618" t="s">
        <v>1941</v>
      </c>
      <c r="AE97" s="1100" t="s">
        <v>2275</v>
      </c>
      <c r="AF97" s="618" t="s">
        <v>2310</v>
      </c>
      <c r="AG97" s="618" t="s">
        <v>2432</v>
      </c>
      <c r="AH97" s="1100" t="s">
        <v>2447</v>
      </c>
      <c r="AI97" s="1100" t="s">
        <v>2564</v>
      </c>
      <c r="AJ97" s="180"/>
      <c r="AK97" s="180"/>
      <c r="AL97" s="180"/>
      <c r="AM97" s="180"/>
      <c r="AN97" s="180"/>
      <c r="AO97" s="180"/>
      <c r="AP97" s="180"/>
      <c r="AQ97" s="180"/>
      <c r="AR97" s="180"/>
      <c r="AS97" s="180"/>
      <c r="AT97" s="180"/>
      <c r="AU97" s="180"/>
      <c r="AV97" s="180"/>
      <c r="AW97" s="180"/>
      <c r="AX97" s="180"/>
      <c r="AY97" s="180"/>
      <c r="AZ97" s="180"/>
      <c r="BA97" s="180"/>
      <c r="BB97" s="180"/>
      <c r="BC97" s="180"/>
    </row>
    <row r="98" spans="1:55" ht="60.6" customHeight="1" thickBot="1" x14ac:dyDescent="0.4">
      <c r="A98" s="184"/>
      <c r="B98" s="1257" t="s">
        <v>764</v>
      </c>
      <c r="C98" s="1258" t="s">
        <v>1461</v>
      </c>
      <c r="D98" s="225" t="s">
        <v>736</v>
      </c>
      <c r="E98" s="203">
        <v>0.15</v>
      </c>
      <c r="F98" s="204">
        <v>1</v>
      </c>
      <c r="G98" s="199">
        <v>0</v>
      </c>
      <c r="H98" s="199">
        <v>1</v>
      </c>
      <c r="I98" s="205"/>
      <c r="J98" s="205">
        <f t="shared" si="77"/>
        <v>1</v>
      </c>
      <c r="K98" s="205"/>
      <c r="L98" s="205">
        <f>+(H98/F98)*E98</f>
        <v>0.15</v>
      </c>
      <c r="M98" s="199"/>
      <c r="N98" s="595">
        <v>0</v>
      </c>
      <c r="O98" s="595">
        <v>0</v>
      </c>
      <c r="P98" s="595">
        <v>0</v>
      </c>
      <c r="Q98" s="595">
        <v>0</v>
      </c>
      <c r="R98" s="595">
        <v>0</v>
      </c>
      <c r="S98" s="199">
        <f t="shared" si="36"/>
        <v>0</v>
      </c>
      <c r="T98" s="199">
        <f t="shared" si="69"/>
        <v>0</v>
      </c>
      <c r="U98" s="205"/>
      <c r="V98" s="205">
        <f t="shared" si="76"/>
        <v>0</v>
      </c>
      <c r="W98" s="207"/>
      <c r="X98" s="207">
        <f>+V98*E98</f>
        <v>0</v>
      </c>
      <c r="Y98" s="205"/>
      <c r="Z98" s="205">
        <f t="shared" si="75"/>
        <v>0</v>
      </c>
      <c r="AA98" s="205"/>
      <c r="AB98" s="205">
        <f t="shared" ref="AB98:AB99" si="78">+Z98*E98</f>
        <v>0</v>
      </c>
      <c r="AC98" s="636" t="s">
        <v>1850</v>
      </c>
      <c r="AD98" s="1101" t="s">
        <v>1893</v>
      </c>
      <c r="AE98" s="1100" t="s">
        <v>2275</v>
      </c>
      <c r="AF98" s="1100" t="s">
        <v>2296</v>
      </c>
      <c r="AG98" s="1100" t="s">
        <v>2412</v>
      </c>
      <c r="AH98" s="1100" t="s">
        <v>2447</v>
      </c>
      <c r="AI98" s="1100" t="s">
        <v>2564</v>
      </c>
      <c r="AJ98" s="180"/>
      <c r="AK98" s="180"/>
      <c r="AL98" s="180"/>
      <c r="AM98" s="180"/>
      <c r="AN98" s="180"/>
      <c r="AO98" s="180"/>
      <c r="AP98" s="180"/>
      <c r="AQ98" s="180"/>
      <c r="AR98" s="180"/>
      <c r="AS98" s="180"/>
      <c r="AT98" s="180"/>
      <c r="AU98" s="180"/>
      <c r="AV98" s="180"/>
      <c r="AW98" s="180"/>
      <c r="AX98" s="180"/>
      <c r="AY98" s="180"/>
      <c r="AZ98" s="180"/>
      <c r="BA98" s="180"/>
      <c r="BB98" s="180"/>
      <c r="BC98" s="180"/>
    </row>
    <row r="99" spans="1:55" ht="53.4" customHeight="1" thickBot="1" x14ac:dyDescent="0.4">
      <c r="A99" s="184"/>
      <c r="B99" s="1255" t="s">
        <v>765</v>
      </c>
      <c r="C99" s="1256" t="s">
        <v>1462</v>
      </c>
      <c r="D99" s="231" t="s">
        <v>736</v>
      </c>
      <c r="E99" s="203">
        <v>0.05</v>
      </c>
      <c r="F99" s="204">
        <v>1</v>
      </c>
      <c r="G99" s="199">
        <v>0</v>
      </c>
      <c r="H99" s="199">
        <v>1</v>
      </c>
      <c r="I99" s="205"/>
      <c r="J99" s="205">
        <f t="shared" si="77"/>
        <v>1</v>
      </c>
      <c r="K99" s="205"/>
      <c r="L99" s="205">
        <f t="shared" si="68"/>
        <v>0.05</v>
      </c>
      <c r="M99" s="199"/>
      <c r="N99" s="595">
        <v>0</v>
      </c>
      <c r="O99" s="595">
        <v>0.4</v>
      </c>
      <c r="P99" s="595">
        <v>0.5</v>
      </c>
      <c r="Q99" s="595">
        <v>0.1</v>
      </c>
      <c r="R99" s="595">
        <v>0</v>
      </c>
      <c r="S99" s="199">
        <f t="shared" ref="S99:S132" si="79">+N99+O99+P99+Q99+R99</f>
        <v>1</v>
      </c>
      <c r="T99" s="199">
        <f t="shared" si="69"/>
        <v>1</v>
      </c>
      <c r="U99" s="205"/>
      <c r="V99" s="205">
        <v>1</v>
      </c>
      <c r="W99" s="207"/>
      <c r="X99" s="207">
        <f t="shared" si="74"/>
        <v>0.05</v>
      </c>
      <c r="Y99" s="205"/>
      <c r="Z99" s="205">
        <v>1</v>
      </c>
      <c r="AA99" s="205"/>
      <c r="AB99" s="205">
        <f t="shared" si="78"/>
        <v>0.05</v>
      </c>
      <c r="AC99" s="636" t="s">
        <v>1850</v>
      </c>
      <c r="AD99" s="1101" t="s">
        <v>1893</v>
      </c>
      <c r="AE99" s="1100" t="s">
        <v>2275</v>
      </c>
      <c r="AF99" s="1100" t="s">
        <v>2296</v>
      </c>
      <c r="AG99" s="192"/>
      <c r="AH99" s="1100" t="s">
        <v>2468</v>
      </c>
      <c r="AI99" s="1100" t="s">
        <v>2564</v>
      </c>
      <c r="AJ99" s="180"/>
      <c r="AK99" s="180"/>
      <c r="AL99" s="180"/>
      <c r="AM99" s="180"/>
      <c r="AN99" s="180"/>
      <c r="AO99" s="180"/>
      <c r="AP99" s="180"/>
      <c r="AQ99" s="180"/>
      <c r="AR99" s="180"/>
      <c r="AS99" s="180"/>
      <c r="AT99" s="180"/>
      <c r="AU99" s="180"/>
      <c r="AV99" s="180"/>
      <c r="AW99" s="180"/>
      <c r="AX99" s="180"/>
      <c r="AY99" s="180"/>
      <c r="AZ99" s="180"/>
      <c r="BA99" s="180"/>
      <c r="BB99" s="180"/>
      <c r="BC99" s="180"/>
    </row>
    <row r="100" spans="1:55" ht="78" customHeight="1" thickBot="1" x14ac:dyDescent="0.4">
      <c r="A100" s="184"/>
      <c r="B100" s="1327" t="s">
        <v>1799</v>
      </c>
      <c r="C100" s="1328"/>
      <c r="D100" s="225"/>
      <c r="E100" s="187">
        <v>0.1</v>
      </c>
      <c r="F100" s="188">
        <f>+E100*W100</f>
        <v>5.6500000000000009E-2</v>
      </c>
      <c r="G100" s="192"/>
      <c r="H100" s="188">
        <f>+E100*X100</f>
        <v>7.1039293361884373E-2</v>
      </c>
      <c r="I100" s="190">
        <f>+(I101+I107+I117)/3</f>
        <v>0.17360979649420338</v>
      </c>
      <c r="J100" s="190">
        <f>+(J101+J107+J117)/3</f>
        <v>0.38970610582327403</v>
      </c>
      <c r="K100" s="191">
        <f>+(K101+K107+K117)/3</f>
        <v>9.382477763087127E-2</v>
      </c>
      <c r="L100" s="191">
        <f>+(L101+L107+L117)/3</f>
        <v>0.32245386743248144</v>
      </c>
      <c r="M100" s="192"/>
      <c r="N100" s="192"/>
      <c r="O100" s="192"/>
      <c r="P100" s="192"/>
      <c r="Q100" s="192"/>
      <c r="R100" s="1209"/>
      <c r="S100" s="1181"/>
      <c r="T100" s="192"/>
      <c r="U100" s="190">
        <f>+(U101+U107+U117)/3</f>
        <v>1</v>
      </c>
      <c r="V100" s="190">
        <f>+(V101+V107+V117)/3</f>
        <v>0.78319057815845816</v>
      </c>
      <c r="W100" s="191">
        <f>W101+W107+W117</f>
        <v>0.56500000000000006</v>
      </c>
      <c r="X100" s="191">
        <f>X101+X107+X117</f>
        <v>0.7103929336188437</v>
      </c>
      <c r="Y100" s="190">
        <f>(Y101+Y107+Y117)/3</f>
        <v>0.19428158691255218</v>
      </c>
      <c r="Z100" s="190">
        <f>(Z101+Z107+Z117)/3</f>
        <v>0.40940952229628164</v>
      </c>
      <c r="AA100" s="191">
        <f>AA101+AA107+AA117</f>
        <v>0.10879627598215055</v>
      </c>
      <c r="AB100" s="191">
        <f>AB101*E101+AB107*E107+AB117*Z117</f>
        <v>0.45634263977502848</v>
      </c>
      <c r="AC100" s="663"/>
      <c r="AD100" s="192"/>
      <c r="AE100" s="192"/>
      <c r="AF100" s="192"/>
      <c r="AG100" s="192"/>
      <c r="AH100" s="192"/>
      <c r="AI100" s="186"/>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row>
    <row r="101" spans="1:55" ht="72" customHeight="1" thickBot="1" x14ac:dyDescent="0.4">
      <c r="A101" s="184"/>
      <c r="B101" s="1329" t="s">
        <v>1718</v>
      </c>
      <c r="C101" s="1330"/>
      <c r="D101" s="226"/>
      <c r="E101" s="195">
        <v>0.25</v>
      </c>
      <c r="F101" s="216"/>
      <c r="G101" s="199"/>
      <c r="H101" s="199"/>
      <c r="I101" s="198">
        <f>+AVERAGE(I102:I106)</f>
        <v>0.17798528579513301</v>
      </c>
      <c r="J101" s="198">
        <f>+AVERAGE(J102:J106)</f>
        <v>0.28952461799660439</v>
      </c>
      <c r="K101" s="198">
        <f>+K102+K103+K104+K105+K106</f>
        <v>0.17798528579513301</v>
      </c>
      <c r="L101" s="198">
        <f>+L102+L103+L104+L105+L106</f>
        <v>0.28952461799660439</v>
      </c>
      <c r="M101" s="199"/>
      <c r="N101" s="199"/>
      <c r="O101" s="199"/>
      <c r="P101" s="199"/>
      <c r="Q101" s="199"/>
      <c r="R101" s="935"/>
      <c r="S101" s="199"/>
      <c r="T101" s="199"/>
      <c r="U101" s="221">
        <f>+AVERAGE(U102:U106)</f>
        <v>1</v>
      </c>
      <c r="V101" s="221">
        <f>+AVERAGE(V102:V106)</f>
        <v>0.99957173447537462</v>
      </c>
      <c r="W101" s="221">
        <f>+(W102+W103+W104+W105+W106)*E101</f>
        <v>0.25</v>
      </c>
      <c r="X101" s="221">
        <f>+(X102+X103+X104+X105+X106)*E101</f>
        <v>0.24989293361884368</v>
      </c>
      <c r="Y101" s="198">
        <f>+AVERAGE(Y102:Y106)</f>
        <v>0.17866440294284094</v>
      </c>
      <c r="Z101" s="198">
        <f>+AVERAGE(Z102:Z106)</f>
        <v>0.46807583474816078</v>
      </c>
      <c r="AA101" s="198">
        <f>+(AA102+AA103+AA104+AA105+AA106)*E101</f>
        <v>4.4666100735710243E-2</v>
      </c>
      <c r="AB101" s="198">
        <f>+(AB102+AB103+AB104+AB105+AB106)</f>
        <v>0.46807583474816072</v>
      </c>
      <c r="AC101" s="663"/>
      <c r="AD101" s="192"/>
      <c r="AE101" s="192"/>
      <c r="AF101" s="192"/>
      <c r="AG101" s="192"/>
      <c r="AH101" s="192"/>
      <c r="AI101" s="186"/>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row>
    <row r="102" spans="1:55" ht="58.8" customHeight="1" thickBot="1" x14ac:dyDescent="0.4">
      <c r="A102" s="184"/>
      <c r="B102" s="1003" t="s">
        <v>766</v>
      </c>
      <c r="C102" s="1004" t="s">
        <v>1463</v>
      </c>
      <c r="D102" s="228" t="s">
        <v>767</v>
      </c>
      <c r="E102" s="203">
        <v>0.2</v>
      </c>
      <c r="F102" s="204">
        <v>10</v>
      </c>
      <c r="G102" s="199">
        <v>1</v>
      </c>
      <c r="H102" s="199">
        <v>3</v>
      </c>
      <c r="I102" s="205">
        <f>+G102/F102</f>
        <v>0.1</v>
      </c>
      <c r="J102" s="205">
        <f t="shared" ref="J102:J106" si="80">+H102/F102</f>
        <v>0.3</v>
      </c>
      <c r="K102" s="205">
        <f>+(G102/F102)*E102</f>
        <v>2.0000000000000004E-2</v>
      </c>
      <c r="L102" s="205">
        <f t="shared" ref="L102:L106" si="81">+(H102/F102)*E102</f>
        <v>0.06</v>
      </c>
      <c r="M102" s="199">
        <v>1</v>
      </c>
      <c r="N102" s="595">
        <v>0</v>
      </c>
      <c r="O102" s="595">
        <v>1</v>
      </c>
      <c r="P102" s="595">
        <v>0</v>
      </c>
      <c r="Q102" s="595">
        <v>2</v>
      </c>
      <c r="R102" s="595">
        <v>0</v>
      </c>
      <c r="S102" s="199">
        <f t="shared" si="79"/>
        <v>3</v>
      </c>
      <c r="T102" s="199">
        <f t="shared" ref="T102:T123" si="82">+S102+M102</f>
        <v>4</v>
      </c>
      <c r="U102" s="223">
        <f>+(M102/G102)</f>
        <v>1</v>
      </c>
      <c r="V102" s="223">
        <f t="shared" ref="V102:V104" si="83">+S102/H102</f>
        <v>1</v>
      </c>
      <c r="W102" s="223">
        <f>+U102*E102</f>
        <v>0.2</v>
      </c>
      <c r="X102" s="223">
        <f t="shared" ref="X102:X106" si="84">+V102*E102</f>
        <v>0.2</v>
      </c>
      <c r="Y102" s="223">
        <f>+M102/F102</f>
        <v>0.1</v>
      </c>
      <c r="Z102" s="223">
        <f t="shared" ref="Z102:Z106" si="85">+T102/F102</f>
        <v>0.4</v>
      </c>
      <c r="AA102" s="223">
        <f>+Y102*E102</f>
        <v>2.0000000000000004E-2</v>
      </c>
      <c r="AB102" s="223">
        <f>+Z102*E102</f>
        <v>8.0000000000000016E-2</v>
      </c>
      <c r="AC102" s="636" t="s">
        <v>1850</v>
      </c>
      <c r="AD102" s="1101" t="s">
        <v>1893</v>
      </c>
      <c r="AE102" s="1100" t="s">
        <v>2275</v>
      </c>
      <c r="AF102" s="1100" t="s">
        <v>2296</v>
      </c>
      <c r="AG102" s="1100" t="s">
        <v>2412</v>
      </c>
      <c r="AH102" s="1100" t="s">
        <v>2447</v>
      </c>
      <c r="AI102" s="1100" t="s">
        <v>2564</v>
      </c>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row>
    <row r="103" spans="1:55" ht="66.599999999999994" customHeight="1" thickBot="1" x14ac:dyDescent="0.4">
      <c r="A103" s="184"/>
      <c r="B103" s="1007" t="s">
        <v>768</v>
      </c>
      <c r="C103" s="1008" t="s">
        <v>1464</v>
      </c>
      <c r="D103" s="225" t="s">
        <v>767</v>
      </c>
      <c r="E103" s="203">
        <v>0.2</v>
      </c>
      <c r="F103" s="204">
        <v>1767</v>
      </c>
      <c r="G103" s="199">
        <v>100</v>
      </c>
      <c r="H103" s="199">
        <v>467</v>
      </c>
      <c r="I103" s="205">
        <f>+G103/F103</f>
        <v>5.6593095642331635E-2</v>
      </c>
      <c r="J103" s="205">
        <f t="shared" si="80"/>
        <v>0.26428975664968873</v>
      </c>
      <c r="K103" s="205">
        <f>+(G103/F103)*E103</f>
        <v>1.1318619128466328E-2</v>
      </c>
      <c r="L103" s="205">
        <f t="shared" si="81"/>
        <v>5.2857951329937751E-2</v>
      </c>
      <c r="M103" s="199">
        <v>106</v>
      </c>
      <c r="N103" s="595">
        <v>78</v>
      </c>
      <c r="O103" s="595">
        <v>140</v>
      </c>
      <c r="P103" s="595">
        <v>0</v>
      </c>
      <c r="Q103" s="595">
        <v>184</v>
      </c>
      <c r="R103" s="595">
        <v>64</v>
      </c>
      <c r="S103" s="199">
        <f t="shared" si="79"/>
        <v>466</v>
      </c>
      <c r="T103" s="199">
        <f t="shared" si="82"/>
        <v>572</v>
      </c>
      <c r="U103" s="223">
        <v>1</v>
      </c>
      <c r="V103" s="223">
        <f t="shared" si="83"/>
        <v>0.99785867237687365</v>
      </c>
      <c r="W103" s="223">
        <f>+U103*E103</f>
        <v>0.2</v>
      </c>
      <c r="X103" s="223">
        <f t="shared" si="84"/>
        <v>0.19957173447537474</v>
      </c>
      <c r="Y103" s="223">
        <f>+M103/F103</f>
        <v>5.9988681380871531E-2</v>
      </c>
      <c r="Z103" s="223">
        <f t="shared" si="85"/>
        <v>0.32371250707413696</v>
      </c>
      <c r="AA103" s="223">
        <f>+Y103*E103</f>
        <v>1.1997736276174308E-2</v>
      </c>
      <c r="AB103" s="223">
        <f>+Z103*E103</f>
        <v>6.4742501414827389E-2</v>
      </c>
      <c r="AC103" s="636" t="s">
        <v>1850</v>
      </c>
      <c r="AD103" s="1101" t="s">
        <v>1893</v>
      </c>
      <c r="AE103" s="1100" t="s">
        <v>2275</v>
      </c>
      <c r="AF103" s="1100" t="s">
        <v>2296</v>
      </c>
      <c r="AG103" s="1100" t="s">
        <v>2412</v>
      </c>
      <c r="AH103" s="1100" t="s">
        <v>2447</v>
      </c>
      <c r="AI103" s="1100" t="s">
        <v>2564</v>
      </c>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row>
    <row r="104" spans="1:55" ht="65.400000000000006" customHeight="1" thickBot="1" x14ac:dyDescent="0.4">
      <c r="A104" s="184"/>
      <c r="B104" s="1007" t="s">
        <v>769</v>
      </c>
      <c r="C104" s="1008" t="s">
        <v>1465</v>
      </c>
      <c r="D104" s="225" t="s">
        <v>767</v>
      </c>
      <c r="E104" s="203">
        <v>0.2</v>
      </c>
      <c r="F104" s="204">
        <v>200</v>
      </c>
      <c r="G104" s="199">
        <v>20</v>
      </c>
      <c r="H104" s="199">
        <v>60</v>
      </c>
      <c r="I104" s="205">
        <f>+G104/F104</f>
        <v>0.1</v>
      </c>
      <c r="J104" s="205">
        <f t="shared" si="80"/>
        <v>0.3</v>
      </c>
      <c r="K104" s="205">
        <f>+(G104/F104)*E104</f>
        <v>2.0000000000000004E-2</v>
      </c>
      <c r="L104" s="205">
        <f t="shared" si="81"/>
        <v>0.06</v>
      </c>
      <c r="M104" s="199">
        <v>20</v>
      </c>
      <c r="N104" s="595">
        <v>33</v>
      </c>
      <c r="O104" s="595">
        <v>27</v>
      </c>
      <c r="P104" s="595">
        <v>0</v>
      </c>
      <c r="Q104" s="595">
        <v>0</v>
      </c>
      <c r="R104" s="595">
        <v>0</v>
      </c>
      <c r="S104" s="199">
        <f t="shared" si="79"/>
        <v>60</v>
      </c>
      <c r="T104" s="199">
        <f t="shared" si="82"/>
        <v>80</v>
      </c>
      <c r="U104" s="223">
        <f>+(M104/G104)</f>
        <v>1</v>
      </c>
      <c r="V104" s="223">
        <f t="shared" si="83"/>
        <v>1</v>
      </c>
      <c r="W104" s="223">
        <f>+U104*E104</f>
        <v>0.2</v>
      </c>
      <c r="X104" s="223">
        <f t="shared" si="84"/>
        <v>0.2</v>
      </c>
      <c r="Y104" s="223">
        <f>+M104/F104</f>
        <v>0.1</v>
      </c>
      <c r="Z104" s="223">
        <f t="shared" si="85"/>
        <v>0.4</v>
      </c>
      <c r="AA104" s="223">
        <f>+Y104*E104</f>
        <v>2.0000000000000004E-2</v>
      </c>
      <c r="AB104" s="223">
        <f>+Z104*E104</f>
        <v>8.0000000000000016E-2</v>
      </c>
      <c r="AC104" s="636" t="s">
        <v>1850</v>
      </c>
      <c r="AD104" s="1101" t="s">
        <v>1893</v>
      </c>
      <c r="AE104" s="1100" t="s">
        <v>2275</v>
      </c>
      <c r="AF104" s="1100" t="s">
        <v>2296</v>
      </c>
      <c r="AG104" s="1100" t="s">
        <v>2412</v>
      </c>
      <c r="AH104" s="1100" t="s">
        <v>2447</v>
      </c>
      <c r="AI104" s="1100" t="s">
        <v>2564</v>
      </c>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row>
    <row r="105" spans="1:55" ht="51" customHeight="1" thickBot="1" x14ac:dyDescent="0.4">
      <c r="A105" s="184"/>
      <c r="B105" s="1009" t="s">
        <v>770</v>
      </c>
      <c r="C105" s="1010" t="s">
        <v>1466</v>
      </c>
      <c r="D105" s="226" t="s">
        <v>767</v>
      </c>
      <c r="E105" s="203">
        <v>0.2</v>
      </c>
      <c r="F105" s="204">
        <v>100</v>
      </c>
      <c r="G105" s="199">
        <v>30</v>
      </c>
      <c r="H105" s="199">
        <v>25</v>
      </c>
      <c r="I105" s="205">
        <f>+G105/F105</f>
        <v>0.3</v>
      </c>
      <c r="J105" s="205">
        <f t="shared" si="80"/>
        <v>0.25</v>
      </c>
      <c r="K105" s="205">
        <f>+(G105/F105)*E105</f>
        <v>0.06</v>
      </c>
      <c r="L105" s="205">
        <f t="shared" si="81"/>
        <v>0.05</v>
      </c>
      <c r="M105" s="199">
        <v>30</v>
      </c>
      <c r="N105" s="595">
        <v>10</v>
      </c>
      <c r="O105" s="595">
        <v>15</v>
      </c>
      <c r="P105" s="595">
        <v>0</v>
      </c>
      <c r="Q105" s="595">
        <v>0</v>
      </c>
      <c r="R105" s="595">
        <v>0</v>
      </c>
      <c r="S105" s="199">
        <f t="shared" si="79"/>
        <v>25</v>
      </c>
      <c r="T105" s="199">
        <f t="shared" si="82"/>
        <v>55</v>
      </c>
      <c r="U105" s="223">
        <f>+(M105/G105)</f>
        <v>1</v>
      </c>
      <c r="V105" s="223">
        <v>1</v>
      </c>
      <c r="W105" s="223">
        <f>+U105*E105</f>
        <v>0.2</v>
      </c>
      <c r="X105" s="223">
        <f t="shared" si="84"/>
        <v>0.2</v>
      </c>
      <c r="Y105" s="223">
        <f>+M105/F105</f>
        <v>0.3</v>
      </c>
      <c r="Z105" s="223">
        <f t="shared" si="85"/>
        <v>0.55000000000000004</v>
      </c>
      <c r="AA105" s="223">
        <f>+Y105*E105</f>
        <v>0.06</v>
      </c>
      <c r="AB105" s="223">
        <f>+Z105*E105</f>
        <v>0.11000000000000001</v>
      </c>
      <c r="AC105" s="636" t="s">
        <v>1850</v>
      </c>
      <c r="AD105" s="1101" t="s">
        <v>1893</v>
      </c>
      <c r="AE105" s="1100" t="s">
        <v>2275</v>
      </c>
      <c r="AF105" s="1100" t="s">
        <v>2296</v>
      </c>
      <c r="AG105" s="1100" t="s">
        <v>2412</v>
      </c>
      <c r="AH105" s="1100" t="s">
        <v>2447</v>
      </c>
      <c r="AI105" s="1100" t="s">
        <v>2564</v>
      </c>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row>
    <row r="106" spans="1:55" ht="78" customHeight="1" thickBot="1" x14ac:dyDescent="0.4">
      <c r="A106" s="184"/>
      <c r="B106" s="1003" t="s">
        <v>771</v>
      </c>
      <c r="C106" s="1004" t="s">
        <v>1467</v>
      </c>
      <c r="D106" s="228" t="s">
        <v>767</v>
      </c>
      <c r="E106" s="203">
        <v>0.2</v>
      </c>
      <c r="F106" s="204">
        <v>3</v>
      </c>
      <c r="G106" s="199">
        <v>1</v>
      </c>
      <c r="H106" s="199">
        <v>1</v>
      </c>
      <c r="I106" s="205">
        <f>+G106/F106</f>
        <v>0.33333333333333331</v>
      </c>
      <c r="J106" s="205">
        <f t="shared" si="80"/>
        <v>0.33333333333333331</v>
      </c>
      <c r="K106" s="205">
        <f>+(G106/F106)*E106</f>
        <v>6.6666666666666666E-2</v>
      </c>
      <c r="L106" s="205">
        <f t="shared" si="81"/>
        <v>6.6666666666666666E-2</v>
      </c>
      <c r="M106" s="199">
        <v>1</v>
      </c>
      <c r="N106" s="595">
        <v>1</v>
      </c>
      <c r="O106" s="595">
        <v>0</v>
      </c>
      <c r="P106" s="595">
        <v>0</v>
      </c>
      <c r="Q106" s="595">
        <v>0</v>
      </c>
      <c r="R106" s="595">
        <v>0</v>
      </c>
      <c r="S106" s="199">
        <f t="shared" si="79"/>
        <v>1</v>
      </c>
      <c r="T106" s="199">
        <f t="shared" si="82"/>
        <v>2</v>
      </c>
      <c r="U106" s="223">
        <f>+(M106/G106)</f>
        <v>1</v>
      </c>
      <c r="V106" s="223">
        <v>1</v>
      </c>
      <c r="W106" s="223">
        <f>+U106*E106</f>
        <v>0.2</v>
      </c>
      <c r="X106" s="223">
        <f t="shared" si="84"/>
        <v>0.2</v>
      </c>
      <c r="Y106" s="223">
        <f>+M106/F106</f>
        <v>0.33333333333333331</v>
      </c>
      <c r="Z106" s="223">
        <f t="shared" si="85"/>
        <v>0.66666666666666663</v>
      </c>
      <c r="AA106" s="223">
        <f>+Y106*E106</f>
        <v>6.6666666666666666E-2</v>
      </c>
      <c r="AB106" s="223">
        <f>+Z106*E106</f>
        <v>0.13333333333333333</v>
      </c>
      <c r="AC106" s="636" t="s">
        <v>1850</v>
      </c>
      <c r="AD106" s="1101" t="s">
        <v>1893</v>
      </c>
      <c r="AE106" s="1100" t="s">
        <v>2275</v>
      </c>
      <c r="AF106" s="1100" t="s">
        <v>2296</v>
      </c>
      <c r="AG106" s="1100" t="s">
        <v>2412</v>
      </c>
      <c r="AH106" s="1100" t="s">
        <v>2447</v>
      </c>
      <c r="AI106" s="1100" t="s">
        <v>2564</v>
      </c>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row>
    <row r="107" spans="1:55" ht="129" customHeight="1" thickBot="1" x14ac:dyDescent="0.4">
      <c r="A107" s="184"/>
      <c r="B107" s="1332" t="s">
        <v>1719</v>
      </c>
      <c r="C107" s="1328"/>
      <c r="D107" s="225"/>
      <c r="E107" s="195">
        <v>0.45</v>
      </c>
      <c r="F107" s="216"/>
      <c r="G107" s="199"/>
      <c r="H107" s="199"/>
      <c r="I107" s="198">
        <f>+AVERAGE(I108:I116)</f>
        <v>9.2844103687477184E-2</v>
      </c>
      <c r="J107" s="198">
        <f>+AVERAGE(J108:J116)</f>
        <v>0.32959369947321754</v>
      </c>
      <c r="K107" s="198">
        <f>+K108+K109+K110+K111+K112+K113+K114+K115+K116</f>
        <v>6.5989047097480838E-2</v>
      </c>
      <c r="L107" s="198">
        <f>+L108+L109+L110+L111+L112+L113+L114+L115+L116</f>
        <v>0.26533698430083974</v>
      </c>
      <c r="M107" s="199"/>
      <c r="N107" s="199"/>
      <c r="O107" s="199"/>
      <c r="P107" s="199"/>
      <c r="Q107" s="199"/>
      <c r="R107" s="935"/>
      <c r="S107" s="199"/>
      <c r="T107" s="199"/>
      <c r="U107" s="221">
        <f>+AVERAGE(U108:U116)</f>
        <v>1</v>
      </c>
      <c r="V107" s="221">
        <f>+AVERAGE(V108:V116)</f>
        <v>0.8</v>
      </c>
      <c r="W107" s="221">
        <f>+(W108+W109+W110+W111+W112+W113+W114+W115+W116)*E107</f>
        <v>0.27000000000000007</v>
      </c>
      <c r="X107" s="221">
        <f>+(X108+X109+X110+X111+X112+X113+X114+X115+X116)*E107</f>
        <v>0.30600000000000005</v>
      </c>
      <c r="Y107" s="198">
        <f>+AVERAGE(Y108:Y116)</f>
        <v>0.15418035779481562</v>
      </c>
      <c r="Z107" s="198">
        <f>+Y107+((Z109-Y109)/9)+((Z111-Y111)/9)+((Z114-Y114)/9)+((Z112-Y112)/9)</f>
        <v>0.40181939880735063</v>
      </c>
      <c r="AA107" s="198">
        <f>+(AA108+AA109+AA110+AA111+AA112+AA113+AA114+AA115+AA116)*E107</f>
        <v>5.2880175246440314E-2</v>
      </c>
      <c r="AB107" s="198">
        <f>+(AB108+AB109+AB110+AB111+AB112+AB113+AB114+AB115+AB116)</f>
        <v>0.42956188389923333</v>
      </c>
      <c r="AC107" s="663"/>
      <c r="AD107" s="192"/>
      <c r="AE107" s="192"/>
      <c r="AF107" s="192"/>
      <c r="AG107" s="192"/>
      <c r="AH107" s="192"/>
      <c r="AI107" s="186"/>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row>
    <row r="108" spans="1:55" ht="92.4" customHeight="1" thickBot="1" x14ac:dyDescent="0.4">
      <c r="A108" s="184"/>
      <c r="B108" s="1009" t="s">
        <v>772</v>
      </c>
      <c r="C108" s="1010" t="s">
        <v>1468</v>
      </c>
      <c r="D108" s="233" t="s">
        <v>767</v>
      </c>
      <c r="E108" s="203">
        <v>0.05</v>
      </c>
      <c r="F108" s="204">
        <v>1</v>
      </c>
      <c r="G108" s="199">
        <v>0</v>
      </c>
      <c r="H108" s="199">
        <v>1</v>
      </c>
      <c r="I108" s="205"/>
      <c r="J108" s="205">
        <f t="shared" ref="J108:J116" si="86">+H108/F108</f>
        <v>1</v>
      </c>
      <c r="K108" s="205"/>
      <c r="L108" s="205">
        <f t="shared" ref="L108:L116" si="87">+(H108/F108)*E108</f>
        <v>0.05</v>
      </c>
      <c r="M108" s="199"/>
      <c r="N108" s="595">
        <v>0</v>
      </c>
      <c r="O108" s="595">
        <v>0</v>
      </c>
      <c r="P108" s="595">
        <v>0</v>
      </c>
      <c r="Q108" s="595">
        <v>0</v>
      </c>
      <c r="R108" s="595">
        <v>0</v>
      </c>
      <c r="S108" s="595">
        <f t="shared" si="79"/>
        <v>0</v>
      </c>
      <c r="T108" s="199">
        <f t="shared" si="82"/>
        <v>0</v>
      </c>
      <c r="U108" s="223"/>
      <c r="V108" s="223">
        <f t="shared" ref="V108" si="88">+S108/H108</f>
        <v>0</v>
      </c>
      <c r="W108" s="223"/>
      <c r="X108" s="223">
        <f t="shared" ref="X108:X116" si="89">+V108*E108</f>
        <v>0</v>
      </c>
      <c r="Y108" s="223"/>
      <c r="Z108" s="223">
        <v>0</v>
      </c>
      <c r="AA108" s="205"/>
      <c r="AB108" s="205">
        <f t="shared" ref="AB108:AB123" si="90">+Z108*E108</f>
        <v>0</v>
      </c>
      <c r="AC108" s="636" t="s">
        <v>1850</v>
      </c>
      <c r="AD108" s="719" t="s">
        <v>1920</v>
      </c>
      <c r="AE108" s="1100" t="s">
        <v>2275</v>
      </c>
      <c r="AF108" s="1100" t="s">
        <v>2296</v>
      </c>
      <c r="AG108" s="1100" t="s">
        <v>2412</v>
      </c>
      <c r="AH108" s="1100" t="s">
        <v>2447</v>
      </c>
      <c r="AI108" s="1100" t="s">
        <v>2564</v>
      </c>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row>
    <row r="109" spans="1:55" ht="57.6" customHeight="1" thickBot="1" x14ac:dyDescent="0.4">
      <c r="A109" s="184"/>
      <c r="B109" s="1001" t="s">
        <v>773</v>
      </c>
      <c r="C109" s="1002" t="s">
        <v>1469</v>
      </c>
      <c r="D109" s="233" t="s">
        <v>767</v>
      </c>
      <c r="E109" s="203">
        <v>0.28000000000000003</v>
      </c>
      <c r="F109" s="204">
        <v>3652</v>
      </c>
      <c r="G109" s="199">
        <v>652</v>
      </c>
      <c r="H109" s="199">
        <v>1000</v>
      </c>
      <c r="I109" s="205">
        <f t="shared" ref="I109:I114" si="91">+G109/F109</f>
        <v>0.17853231106243153</v>
      </c>
      <c r="J109" s="205">
        <f t="shared" si="86"/>
        <v>0.2738225629791895</v>
      </c>
      <c r="K109" s="205">
        <f t="shared" ref="K109:K114" si="92">+(G109/F109)*E109</f>
        <v>4.9989047097480831E-2</v>
      </c>
      <c r="L109" s="205">
        <f t="shared" si="87"/>
        <v>7.6670317634173063E-2</v>
      </c>
      <c r="M109" s="199">
        <v>1324</v>
      </c>
      <c r="N109" s="595">
        <v>35</v>
      </c>
      <c r="O109" s="595">
        <v>434</v>
      </c>
      <c r="P109" s="595">
        <v>130</v>
      </c>
      <c r="Q109" s="595">
        <v>375</v>
      </c>
      <c r="R109" s="595">
        <v>44</v>
      </c>
      <c r="S109" s="595">
        <f t="shared" si="79"/>
        <v>1018</v>
      </c>
      <c r="T109" s="199">
        <f t="shared" si="82"/>
        <v>2342</v>
      </c>
      <c r="U109" s="223">
        <v>1</v>
      </c>
      <c r="V109" s="223">
        <v>1</v>
      </c>
      <c r="W109" s="223">
        <f t="shared" ref="W109:W114" si="93">+U109*E109</f>
        <v>0.28000000000000003</v>
      </c>
      <c r="X109" s="223">
        <f t="shared" si="89"/>
        <v>0.28000000000000003</v>
      </c>
      <c r="Y109" s="223">
        <f t="shared" ref="Y109:Y114" si="94">+M109/F109</f>
        <v>0.36254107338444685</v>
      </c>
      <c r="Z109" s="223">
        <f t="shared" ref="Z109:Z123" si="95">+T109/F109</f>
        <v>0.64129244249726181</v>
      </c>
      <c r="AA109" s="205">
        <f t="shared" ref="AA109:AA114" si="96">+Y109*E109</f>
        <v>0.10151150054764513</v>
      </c>
      <c r="AB109" s="205">
        <f t="shared" si="90"/>
        <v>0.17956188389923333</v>
      </c>
      <c r="AC109" s="636" t="s">
        <v>1850</v>
      </c>
      <c r="AD109" s="1101" t="s">
        <v>1893</v>
      </c>
      <c r="AE109" s="1100" t="s">
        <v>2275</v>
      </c>
      <c r="AF109" s="1100" t="s">
        <v>2296</v>
      </c>
      <c r="AG109" s="1100" t="s">
        <v>2412</v>
      </c>
      <c r="AH109" s="1100" t="s">
        <v>2447</v>
      </c>
      <c r="AI109" s="1100" t="s">
        <v>2564</v>
      </c>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row>
    <row r="110" spans="1:55" ht="90" customHeight="1" thickBot="1" x14ac:dyDescent="0.4">
      <c r="A110" s="184"/>
      <c r="B110" s="1001" t="s">
        <v>774</v>
      </c>
      <c r="C110" s="1002" t="s">
        <v>1470</v>
      </c>
      <c r="D110" s="232" t="s">
        <v>767</v>
      </c>
      <c r="E110" s="203">
        <v>0.05</v>
      </c>
      <c r="F110" s="204">
        <v>2</v>
      </c>
      <c r="G110" s="199">
        <v>0</v>
      </c>
      <c r="H110" s="199">
        <v>0</v>
      </c>
      <c r="I110" s="205"/>
      <c r="J110" s="205"/>
      <c r="K110" s="205"/>
      <c r="L110" s="205"/>
      <c r="M110" s="199"/>
      <c r="N110" s="595"/>
      <c r="O110" s="595"/>
      <c r="P110" s="595">
        <v>0</v>
      </c>
      <c r="Q110" s="595">
        <v>0</v>
      </c>
      <c r="R110" s="595">
        <v>0</v>
      </c>
      <c r="S110" s="595">
        <f t="shared" si="79"/>
        <v>0</v>
      </c>
      <c r="T110" s="199"/>
      <c r="U110" s="223"/>
      <c r="V110" s="223"/>
      <c r="W110" s="223"/>
      <c r="X110" s="223"/>
      <c r="Y110" s="223"/>
      <c r="Z110" s="223">
        <v>0</v>
      </c>
      <c r="AA110" s="205"/>
      <c r="AB110" s="205">
        <f t="shared" si="90"/>
        <v>0</v>
      </c>
      <c r="AC110" s="636" t="s">
        <v>1850</v>
      </c>
      <c r="AD110" s="1101" t="s">
        <v>1893</v>
      </c>
      <c r="AE110" s="1100" t="s">
        <v>2275</v>
      </c>
      <c r="AF110" s="1100" t="s">
        <v>2296</v>
      </c>
      <c r="AG110" s="1100" t="s">
        <v>2412</v>
      </c>
      <c r="AH110" s="1100" t="s">
        <v>2447</v>
      </c>
      <c r="AI110" s="1100" t="s">
        <v>2564</v>
      </c>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row>
    <row r="111" spans="1:55" ht="54" customHeight="1" thickBot="1" x14ac:dyDescent="0.4">
      <c r="A111" s="184"/>
      <c r="B111" s="1001" t="s">
        <v>775</v>
      </c>
      <c r="C111" s="1002" t="s">
        <v>1471</v>
      </c>
      <c r="D111" s="214" t="s">
        <v>767</v>
      </c>
      <c r="E111" s="203">
        <v>0.2</v>
      </c>
      <c r="F111" s="204">
        <v>20</v>
      </c>
      <c r="G111" s="199">
        <v>1</v>
      </c>
      <c r="H111" s="199">
        <v>7</v>
      </c>
      <c r="I111" s="205">
        <f t="shared" si="91"/>
        <v>0.05</v>
      </c>
      <c r="J111" s="205">
        <f t="shared" si="86"/>
        <v>0.35</v>
      </c>
      <c r="K111" s="205">
        <f t="shared" si="92"/>
        <v>1.0000000000000002E-2</v>
      </c>
      <c r="L111" s="205">
        <f t="shared" si="87"/>
        <v>6.9999999999999993E-2</v>
      </c>
      <c r="M111" s="199">
        <v>1</v>
      </c>
      <c r="N111" s="595">
        <v>0</v>
      </c>
      <c r="O111" s="595">
        <v>0</v>
      </c>
      <c r="P111" s="595">
        <v>0</v>
      </c>
      <c r="Q111" s="595">
        <v>0</v>
      </c>
      <c r="R111" s="595">
        <v>10</v>
      </c>
      <c r="S111" s="595">
        <f t="shared" si="79"/>
        <v>10</v>
      </c>
      <c r="T111" s="199">
        <f t="shared" si="82"/>
        <v>11</v>
      </c>
      <c r="U111" s="223">
        <f t="shared" ref="U111:U114" si="97">+(M111/G111)</f>
        <v>1</v>
      </c>
      <c r="V111" s="223">
        <v>1</v>
      </c>
      <c r="W111" s="223">
        <f t="shared" si="93"/>
        <v>0.2</v>
      </c>
      <c r="X111" s="223">
        <f t="shared" si="89"/>
        <v>0.2</v>
      </c>
      <c r="Y111" s="223">
        <f t="shared" si="94"/>
        <v>0.05</v>
      </c>
      <c r="Z111" s="223">
        <f t="shared" si="95"/>
        <v>0.55000000000000004</v>
      </c>
      <c r="AA111" s="205">
        <f t="shared" si="96"/>
        <v>1.0000000000000002E-2</v>
      </c>
      <c r="AB111" s="205">
        <f t="shared" si="90"/>
        <v>0.11000000000000001</v>
      </c>
      <c r="AC111" s="636" t="s">
        <v>1850</v>
      </c>
      <c r="AD111" s="1101" t="s">
        <v>1893</v>
      </c>
      <c r="AE111" s="1100" t="s">
        <v>2275</v>
      </c>
      <c r="AF111" s="1100" t="s">
        <v>2296</v>
      </c>
      <c r="AG111" s="1100" t="s">
        <v>2412</v>
      </c>
      <c r="AH111" s="1100" t="s">
        <v>2447</v>
      </c>
      <c r="AI111" s="1100" t="s">
        <v>2564</v>
      </c>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row>
    <row r="112" spans="1:55" ht="90.6" customHeight="1" thickBot="1" x14ac:dyDescent="0.4">
      <c r="A112" s="184"/>
      <c r="B112" s="1001" t="s">
        <v>776</v>
      </c>
      <c r="C112" s="1002" t="s">
        <v>1472</v>
      </c>
      <c r="D112" s="214" t="s">
        <v>767</v>
      </c>
      <c r="E112" s="203">
        <v>0.08</v>
      </c>
      <c r="F112" s="204">
        <v>3</v>
      </c>
      <c r="G112" s="199">
        <v>0</v>
      </c>
      <c r="H112" s="199">
        <v>1</v>
      </c>
      <c r="I112" s="205"/>
      <c r="J112" s="205">
        <f t="shared" si="86"/>
        <v>0.33333333333333331</v>
      </c>
      <c r="K112" s="205"/>
      <c r="L112" s="205">
        <f t="shared" si="87"/>
        <v>2.6666666666666665E-2</v>
      </c>
      <c r="M112" s="199"/>
      <c r="N112" s="595">
        <v>0</v>
      </c>
      <c r="O112" s="595">
        <v>1</v>
      </c>
      <c r="P112" s="595">
        <v>0</v>
      </c>
      <c r="Q112" s="595">
        <v>0</v>
      </c>
      <c r="R112" s="595">
        <v>2</v>
      </c>
      <c r="S112" s="595">
        <f t="shared" si="79"/>
        <v>3</v>
      </c>
      <c r="T112" s="199">
        <f t="shared" si="82"/>
        <v>3</v>
      </c>
      <c r="U112" s="223"/>
      <c r="V112" s="223">
        <v>1</v>
      </c>
      <c r="W112" s="223"/>
      <c r="X112" s="223">
        <f t="shared" si="89"/>
        <v>0.08</v>
      </c>
      <c r="Y112" s="223"/>
      <c r="Z112" s="223">
        <f t="shared" si="95"/>
        <v>1</v>
      </c>
      <c r="AA112" s="205"/>
      <c r="AB112" s="205">
        <f t="shared" si="90"/>
        <v>0.08</v>
      </c>
      <c r="AC112" s="636" t="s">
        <v>1850</v>
      </c>
      <c r="AD112" s="719" t="s">
        <v>1920</v>
      </c>
      <c r="AE112" s="1100" t="s">
        <v>2275</v>
      </c>
      <c r="AF112" s="1100" t="s">
        <v>2296</v>
      </c>
      <c r="AG112" s="1100" t="s">
        <v>2412</v>
      </c>
      <c r="AH112" s="1100" t="s">
        <v>2447</v>
      </c>
      <c r="AI112" s="1100" t="s">
        <v>2566</v>
      </c>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row>
    <row r="113" spans="1:55" ht="87" customHeight="1" thickBot="1" x14ac:dyDescent="0.4">
      <c r="A113" s="184"/>
      <c r="B113" s="1001" t="s">
        <v>777</v>
      </c>
      <c r="C113" s="1002" t="s">
        <v>1473</v>
      </c>
      <c r="D113" s="214" t="s">
        <v>767</v>
      </c>
      <c r="E113" s="203">
        <v>0.05</v>
      </c>
      <c r="F113" s="204">
        <v>4</v>
      </c>
      <c r="G113" s="199">
        <v>0</v>
      </c>
      <c r="H113" s="199">
        <v>0</v>
      </c>
      <c r="I113" s="205"/>
      <c r="J113" s="205"/>
      <c r="K113" s="205"/>
      <c r="L113" s="205"/>
      <c r="M113" s="199"/>
      <c r="N113" s="595"/>
      <c r="O113" s="595"/>
      <c r="P113" s="595">
        <v>0</v>
      </c>
      <c r="Q113" s="595">
        <v>0</v>
      </c>
      <c r="R113" s="595">
        <v>0</v>
      </c>
      <c r="S113" s="595">
        <f t="shared" si="79"/>
        <v>0</v>
      </c>
      <c r="T113" s="199">
        <f t="shared" si="82"/>
        <v>0</v>
      </c>
      <c r="U113" s="223"/>
      <c r="V113" s="223"/>
      <c r="W113" s="223"/>
      <c r="X113" s="223"/>
      <c r="Y113" s="223"/>
      <c r="Z113" s="223">
        <v>0</v>
      </c>
      <c r="AA113" s="205"/>
      <c r="AB113" s="205">
        <f t="shared" si="90"/>
        <v>0</v>
      </c>
      <c r="AC113" s="636" t="s">
        <v>1850</v>
      </c>
      <c r="AD113" s="1101" t="s">
        <v>1893</v>
      </c>
      <c r="AE113" s="1100" t="s">
        <v>2275</v>
      </c>
      <c r="AF113" s="1100" t="s">
        <v>2296</v>
      </c>
      <c r="AG113" s="1100" t="s">
        <v>2412</v>
      </c>
      <c r="AH113" s="1100" t="s">
        <v>2447</v>
      </c>
      <c r="AI113" s="1100" t="s">
        <v>2564</v>
      </c>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row>
    <row r="114" spans="1:55" ht="54" customHeight="1" thickBot="1" x14ac:dyDescent="0.4">
      <c r="A114" s="184"/>
      <c r="B114" s="1001" t="s">
        <v>778</v>
      </c>
      <c r="C114" s="1002" t="s">
        <v>1474</v>
      </c>
      <c r="D114" s="214" t="s">
        <v>767</v>
      </c>
      <c r="E114" s="203">
        <v>0.12</v>
      </c>
      <c r="F114" s="204">
        <v>20</v>
      </c>
      <c r="G114" s="199">
        <v>1</v>
      </c>
      <c r="H114" s="199">
        <v>7</v>
      </c>
      <c r="I114" s="205">
        <f t="shared" si="91"/>
        <v>0.05</v>
      </c>
      <c r="J114" s="205">
        <f t="shared" si="86"/>
        <v>0.35</v>
      </c>
      <c r="K114" s="205">
        <f t="shared" si="92"/>
        <v>6.0000000000000001E-3</v>
      </c>
      <c r="L114" s="205">
        <f t="shared" si="87"/>
        <v>4.1999999999999996E-2</v>
      </c>
      <c r="M114" s="199">
        <v>1</v>
      </c>
      <c r="N114" s="595">
        <v>0</v>
      </c>
      <c r="O114" s="595">
        <v>2</v>
      </c>
      <c r="P114" s="595">
        <v>0</v>
      </c>
      <c r="Q114" s="595">
        <v>5</v>
      </c>
      <c r="R114" s="595">
        <v>2</v>
      </c>
      <c r="S114" s="595">
        <f t="shared" si="79"/>
        <v>9</v>
      </c>
      <c r="T114" s="199">
        <f t="shared" si="82"/>
        <v>10</v>
      </c>
      <c r="U114" s="223">
        <f t="shared" si="97"/>
        <v>1</v>
      </c>
      <c r="V114" s="223">
        <v>1</v>
      </c>
      <c r="W114" s="223">
        <f t="shared" si="93"/>
        <v>0.12</v>
      </c>
      <c r="X114" s="223">
        <f t="shared" si="89"/>
        <v>0.12</v>
      </c>
      <c r="Y114" s="223">
        <f t="shared" si="94"/>
        <v>0.05</v>
      </c>
      <c r="Z114" s="223">
        <f t="shared" si="95"/>
        <v>0.5</v>
      </c>
      <c r="AA114" s="205">
        <f t="shared" si="96"/>
        <v>6.0000000000000001E-3</v>
      </c>
      <c r="AB114" s="205">
        <f t="shared" si="90"/>
        <v>0.06</v>
      </c>
      <c r="AC114" s="636" t="s">
        <v>1850</v>
      </c>
      <c r="AD114" s="1101" t="s">
        <v>1893</v>
      </c>
      <c r="AE114" s="1100" t="s">
        <v>2275</v>
      </c>
      <c r="AF114" s="1100" t="s">
        <v>2296</v>
      </c>
      <c r="AG114" s="1100" t="s">
        <v>2412</v>
      </c>
      <c r="AH114" s="1100" t="s">
        <v>2447</v>
      </c>
      <c r="AI114" s="1100" t="s">
        <v>2564</v>
      </c>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row>
    <row r="115" spans="1:55" ht="104.4" customHeight="1" thickBot="1" x14ac:dyDescent="0.4">
      <c r="A115" s="184"/>
      <c r="B115" s="930" t="s">
        <v>779</v>
      </c>
      <c r="C115" s="934" t="s">
        <v>1475</v>
      </c>
      <c r="D115" s="222" t="s">
        <v>780</v>
      </c>
      <c r="E115" s="203">
        <v>0.02</v>
      </c>
      <c r="F115" s="204">
        <v>4</v>
      </c>
      <c r="G115" s="199">
        <v>0</v>
      </c>
      <c r="H115" s="199">
        <v>0</v>
      </c>
      <c r="I115" s="205"/>
      <c r="J115" s="205">
        <f t="shared" si="86"/>
        <v>0</v>
      </c>
      <c r="K115" s="205"/>
      <c r="L115" s="205">
        <f t="shared" si="87"/>
        <v>0</v>
      </c>
      <c r="M115" s="199"/>
      <c r="N115" s="272"/>
      <c r="O115" s="272"/>
      <c r="P115" s="272"/>
      <c r="Q115" s="199"/>
      <c r="R115" s="935"/>
      <c r="S115" s="199">
        <f>+N115+O115+P115+Q115+R115</f>
        <v>0</v>
      </c>
      <c r="T115" s="199">
        <f t="shared" si="82"/>
        <v>0</v>
      </c>
      <c r="U115" s="223"/>
      <c r="V115" s="223"/>
      <c r="W115" s="223"/>
      <c r="X115" s="223">
        <f t="shared" si="89"/>
        <v>0</v>
      </c>
      <c r="Y115" s="223"/>
      <c r="Z115" s="223"/>
      <c r="AA115" s="205"/>
      <c r="AB115" s="205">
        <f t="shared" si="90"/>
        <v>0</v>
      </c>
      <c r="AC115" s="1098" t="s">
        <v>1569</v>
      </c>
      <c r="AD115" s="719" t="s">
        <v>1865</v>
      </c>
      <c r="AE115" s="1100" t="s">
        <v>2275</v>
      </c>
      <c r="AF115" s="1100" t="s">
        <v>2296</v>
      </c>
      <c r="AG115" s="192"/>
      <c r="AH115" s="192"/>
      <c r="AI115" s="1213" t="s">
        <v>2591</v>
      </c>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row>
    <row r="116" spans="1:55" ht="64.95" customHeight="1" thickBot="1" x14ac:dyDescent="0.4">
      <c r="A116" s="184"/>
      <c r="B116" s="930" t="s">
        <v>781</v>
      </c>
      <c r="C116" s="934" t="s">
        <v>1476</v>
      </c>
      <c r="D116" s="224" t="s">
        <v>782</v>
      </c>
      <c r="E116" s="203">
        <v>0.15</v>
      </c>
      <c r="F116" s="204">
        <v>1</v>
      </c>
      <c r="G116" s="199">
        <v>0</v>
      </c>
      <c r="H116" s="199">
        <v>0</v>
      </c>
      <c r="I116" s="205"/>
      <c r="J116" s="205">
        <f t="shared" si="86"/>
        <v>0</v>
      </c>
      <c r="K116" s="205"/>
      <c r="L116" s="205">
        <f t="shared" si="87"/>
        <v>0</v>
      </c>
      <c r="M116" s="199"/>
      <c r="N116" s="272"/>
      <c r="O116" s="272"/>
      <c r="P116" s="272"/>
      <c r="Q116" s="199"/>
      <c r="R116" s="935"/>
      <c r="S116" s="199">
        <f>+N116+O116+P116+Q116+R116</f>
        <v>0</v>
      </c>
      <c r="T116" s="199">
        <f t="shared" si="82"/>
        <v>0</v>
      </c>
      <c r="U116" s="223"/>
      <c r="V116" s="223"/>
      <c r="W116" s="223"/>
      <c r="X116" s="223">
        <f t="shared" si="89"/>
        <v>0</v>
      </c>
      <c r="Y116" s="223"/>
      <c r="Z116" s="223"/>
      <c r="AA116" s="205"/>
      <c r="AB116" s="205">
        <f t="shared" si="90"/>
        <v>0</v>
      </c>
      <c r="AC116" s="1098" t="s">
        <v>1569</v>
      </c>
      <c r="AD116" s="719" t="s">
        <v>1865</v>
      </c>
      <c r="AE116" s="1100" t="s">
        <v>2275</v>
      </c>
      <c r="AF116" s="1100" t="s">
        <v>2296</v>
      </c>
      <c r="AG116" s="192"/>
      <c r="AH116" s="192"/>
      <c r="AI116" s="1213" t="s">
        <v>2591</v>
      </c>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row>
    <row r="117" spans="1:55" ht="28.5" customHeight="1" thickBot="1" x14ac:dyDescent="0.4">
      <c r="A117" s="184"/>
      <c r="B117" s="1319" t="s">
        <v>783</v>
      </c>
      <c r="C117" s="1320"/>
      <c r="D117" s="213"/>
      <c r="E117" s="195">
        <v>0.3</v>
      </c>
      <c r="F117" s="216"/>
      <c r="G117" s="199"/>
      <c r="H117" s="199"/>
      <c r="I117" s="198">
        <f>+AVERAGE(I118:I123)</f>
        <v>0.25</v>
      </c>
      <c r="J117" s="198">
        <f>+AVERAGE(J118:J123)</f>
        <v>0.55000000000000004</v>
      </c>
      <c r="K117" s="198">
        <f>+K118+K119+K120+K121+K122+K123</f>
        <v>3.7499999999999999E-2</v>
      </c>
      <c r="L117" s="198">
        <f>+L118+L119+L120+L121+L122+L123</f>
        <v>0.41250000000000003</v>
      </c>
      <c r="M117" s="197"/>
      <c r="N117" s="197"/>
      <c r="O117" s="197"/>
      <c r="P117" s="197"/>
      <c r="Q117" s="197"/>
      <c r="R117" s="1210"/>
      <c r="S117" s="199"/>
      <c r="T117" s="197"/>
      <c r="U117" s="221">
        <f>+AVERAGE(U118:U123)</f>
        <v>1</v>
      </c>
      <c r="V117" s="221">
        <f>+AVERAGE(V118:V123)</f>
        <v>0.54999999999999993</v>
      </c>
      <c r="W117" s="221">
        <f>+(W118+W119+W120+W121+W122+W123)*E117</f>
        <v>4.4999999999999998E-2</v>
      </c>
      <c r="X117" s="221">
        <f>+(X118+X119+X120+X121+X122+X123)*E117</f>
        <v>0.1545</v>
      </c>
      <c r="Y117" s="198">
        <f>+AVERAGE(Y118:Y123)</f>
        <v>0.25</v>
      </c>
      <c r="Z117" s="198">
        <f>+AVERAGE(Z118:Z123)</f>
        <v>0.35833333333333334</v>
      </c>
      <c r="AA117" s="198">
        <f>+(AA118+AA119+AA120+AA121+AA122+AA123)*E117</f>
        <v>1.125E-2</v>
      </c>
      <c r="AB117" s="198">
        <f>+(AB118+AB119+AB120+AB121+AB122+AB123)</f>
        <v>0.40749999999999997</v>
      </c>
      <c r="AC117" s="663"/>
      <c r="AD117" s="192"/>
      <c r="AE117" s="192"/>
      <c r="AF117" s="192"/>
      <c r="AG117" s="192"/>
      <c r="AH117" s="192"/>
      <c r="AI117" s="186"/>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row>
    <row r="118" spans="1:55" ht="93.6" customHeight="1" thickBot="1" x14ac:dyDescent="0.4">
      <c r="A118" s="184"/>
      <c r="B118" s="1001" t="s">
        <v>784</v>
      </c>
      <c r="C118" s="1002" t="s">
        <v>1477</v>
      </c>
      <c r="D118" s="214" t="s">
        <v>767</v>
      </c>
      <c r="E118" s="203">
        <v>0.05</v>
      </c>
      <c r="F118" s="204">
        <v>2</v>
      </c>
      <c r="G118" s="199">
        <v>0</v>
      </c>
      <c r="H118" s="199">
        <v>1</v>
      </c>
      <c r="I118" s="205"/>
      <c r="J118" s="205">
        <f t="shared" ref="J118:J123" si="98">+H118/F118</f>
        <v>0.5</v>
      </c>
      <c r="K118" s="205"/>
      <c r="L118" s="205">
        <f t="shared" ref="L118:L123" si="99">+(H118/F118)*E118</f>
        <v>2.5000000000000001E-2</v>
      </c>
      <c r="M118" s="199"/>
      <c r="N118" s="595">
        <v>0</v>
      </c>
      <c r="O118" s="595">
        <v>0</v>
      </c>
      <c r="P118" s="595">
        <v>0</v>
      </c>
      <c r="Q118" s="595">
        <v>0</v>
      </c>
      <c r="R118" s="595">
        <v>0.5</v>
      </c>
      <c r="S118" s="199">
        <f t="shared" si="79"/>
        <v>0.5</v>
      </c>
      <c r="T118" s="199">
        <f t="shared" si="82"/>
        <v>0.5</v>
      </c>
      <c r="U118" s="223"/>
      <c r="V118" s="223">
        <f t="shared" ref="V118:V123" si="100">+S118/H118</f>
        <v>0.5</v>
      </c>
      <c r="W118" s="223"/>
      <c r="X118" s="223">
        <f t="shared" ref="X118:X123" si="101">+V118*E118</f>
        <v>2.5000000000000001E-2</v>
      </c>
      <c r="Y118" s="223"/>
      <c r="Z118" s="223">
        <f t="shared" si="95"/>
        <v>0.25</v>
      </c>
      <c r="AA118" s="223"/>
      <c r="AB118" s="223">
        <f t="shared" si="90"/>
        <v>1.2500000000000001E-2</v>
      </c>
      <c r="AC118" s="636" t="s">
        <v>1850</v>
      </c>
      <c r="AD118" s="724" t="s">
        <v>1921</v>
      </c>
      <c r="AE118" s="1100" t="s">
        <v>2275</v>
      </c>
      <c r="AF118" s="1100" t="s">
        <v>2296</v>
      </c>
      <c r="AG118" s="1100" t="s">
        <v>2412</v>
      </c>
      <c r="AH118" s="1100" t="s">
        <v>2447</v>
      </c>
      <c r="AI118" s="1100" t="s">
        <v>2564</v>
      </c>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row>
    <row r="119" spans="1:55" ht="93" customHeight="1" thickBot="1" x14ac:dyDescent="0.4">
      <c r="A119" s="184"/>
      <c r="B119" s="1001" t="s">
        <v>785</v>
      </c>
      <c r="C119" s="1002" t="s">
        <v>1478</v>
      </c>
      <c r="D119" s="214" t="s">
        <v>767</v>
      </c>
      <c r="E119" s="203">
        <v>0.15</v>
      </c>
      <c r="F119" s="204">
        <v>4</v>
      </c>
      <c r="G119" s="199">
        <v>1</v>
      </c>
      <c r="H119" s="199">
        <v>1</v>
      </c>
      <c r="I119" s="205">
        <f>+G119/F119</f>
        <v>0.25</v>
      </c>
      <c r="J119" s="205">
        <f t="shared" si="98"/>
        <v>0.25</v>
      </c>
      <c r="K119" s="205">
        <f>+(G119/F119)*E119</f>
        <v>3.7499999999999999E-2</v>
      </c>
      <c r="L119" s="205">
        <f>+(H119/F119)*E119</f>
        <v>3.7499999999999999E-2</v>
      </c>
      <c r="M119" s="199">
        <v>1</v>
      </c>
      <c r="N119" s="595">
        <v>0</v>
      </c>
      <c r="O119" s="595">
        <v>0</v>
      </c>
      <c r="P119" s="595">
        <v>0</v>
      </c>
      <c r="Q119" s="595">
        <v>0</v>
      </c>
      <c r="R119" s="595">
        <v>1</v>
      </c>
      <c r="S119" s="199">
        <f t="shared" si="79"/>
        <v>1</v>
      </c>
      <c r="T119" s="199">
        <f t="shared" si="82"/>
        <v>2</v>
      </c>
      <c r="U119" s="223">
        <f>+(M119/G119)</f>
        <v>1</v>
      </c>
      <c r="V119" s="223">
        <f>+S119/H119</f>
        <v>1</v>
      </c>
      <c r="W119" s="223">
        <f>+U119*E119</f>
        <v>0.15</v>
      </c>
      <c r="X119" s="223">
        <f t="shared" si="101"/>
        <v>0.15</v>
      </c>
      <c r="Y119" s="223">
        <f>+M119/F119</f>
        <v>0.25</v>
      </c>
      <c r="Z119" s="223">
        <f t="shared" si="95"/>
        <v>0.5</v>
      </c>
      <c r="AA119" s="223">
        <f>+Y119*E119</f>
        <v>3.7499999999999999E-2</v>
      </c>
      <c r="AB119" s="223">
        <f t="shared" si="90"/>
        <v>7.4999999999999997E-2</v>
      </c>
      <c r="AC119" s="636" t="s">
        <v>1850</v>
      </c>
      <c r="AD119" s="1101" t="s">
        <v>1893</v>
      </c>
      <c r="AE119" s="1100" t="s">
        <v>2275</v>
      </c>
      <c r="AF119" s="1100" t="s">
        <v>2296</v>
      </c>
      <c r="AG119" s="1100" t="s">
        <v>2412</v>
      </c>
      <c r="AH119" s="1100" t="s">
        <v>2447</v>
      </c>
      <c r="AI119" s="1100" t="s">
        <v>2564</v>
      </c>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row>
    <row r="120" spans="1:55" ht="59.4" customHeight="1" thickBot="1" x14ac:dyDescent="0.4">
      <c r="A120" s="184"/>
      <c r="B120" s="1001" t="s">
        <v>786</v>
      </c>
      <c r="C120" s="1002" t="s">
        <v>1479</v>
      </c>
      <c r="D120" s="214" t="s">
        <v>767</v>
      </c>
      <c r="E120" s="203">
        <v>0.4</v>
      </c>
      <c r="F120" s="204">
        <v>1</v>
      </c>
      <c r="G120" s="199">
        <v>0</v>
      </c>
      <c r="H120" s="199">
        <v>0.5</v>
      </c>
      <c r="I120" s="205"/>
      <c r="J120" s="205"/>
      <c r="K120" s="205"/>
      <c r="L120" s="205"/>
      <c r="M120" s="199"/>
      <c r="N120" s="595"/>
      <c r="O120" s="595"/>
      <c r="P120" s="595">
        <v>0</v>
      </c>
      <c r="Q120" s="595">
        <v>0</v>
      </c>
      <c r="R120" s="595">
        <v>0</v>
      </c>
      <c r="S120" s="199">
        <f t="shared" si="79"/>
        <v>0</v>
      </c>
      <c r="T120" s="199">
        <f t="shared" si="82"/>
        <v>0</v>
      </c>
      <c r="U120" s="223"/>
      <c r="V120" s="223">
        <v>0</v>
      </c>
      <c r="W120" s="223"/>
      <c r="X120" s="223">
        <f t="shared" si="101"/>
        <v>0</v>
      </c>
      <c r="Y120" s="223"/>
      <c r="Z120" s="223">
        <v>0</v>
      </c>
      <c r="AA120" s="223"/>
      <c r="AB120" s="223">
        <f t="shared" si="90"/>
        <v>0</v>
      </c>
      <c r="AC120" s="636" t="s">
        <v>1850</v>
      </c>
      <c r="AD120" s="1101" t="s">
        <v>1893</v>
      </c>
      <c r="AE120" s="1100" t="s">
        <v>2275</v>
      </c>
      <c r="AF120" s="1100" t="s">
        <v>2296</v>
      </c>
      <c r="AG120" s="1100" t="s">
        <v>2412</v>
      </c>
      <c r="AH120" s="1100" t="s">
        <v>2447</v>
      </c>
      <c r="AI120" s="1100" t="s">
        <v>2564</v>
      </c>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row>
    <row r="121" spans="1:55" ht="59.4" customHeight="1" thickBot="1" x14ac:dyDescent="0.4">
      <c r="A121" s="184"/>
      <c r="B121" s="1001" t="s">
        <v>787</v>
      </c>
      <c r="C121" s="1002" t="s">
        <v>1480</v>
      </c>
      <c r="D121" s="214" t="s">
        <v>767</v>
      </c>
      <c r="E121" s="203">
        <v>0.3</v>
      </c>
      <c r="F121" s="204">
        <v>1</v>
      </c>
      <c r="G121" s="199">
        <v>0</v>
      </c>
      <c r="H121" s="199">
        <v>1</v>
      </c>
      <c r="I121" s="205"/>
      <c r="J121" s="205">
        <f t="shared" si="98"/>
        <v>1</v>
      </c>
      <c r="K121" s="205"/>
      <c r="L121" s="205">
        <f t="shared" si="99"/>
        <v>0.3</v>
      </c>
      <c r="M121" s="199"/>
      <c r="N121" s="595">
        <v>1</v>
      </c>
      <c r="O121" s="595">
        <v>0</v>
      </c>
      <c r="P121" s="595">
        <v>0</v>
      </c>
      <c r="Q121" s="595">
        <v>0</v>
      </c>
      <c r="R121" s="595">
        <v>0</v>
      </c>
      <c r="S121" s="199">
        <f t="shared" si="79"/>
        <v>1</v>
      </c>
      <c r="T121" s="199">
        <f t="shared" si="82"/>
        <v>1</v>
      </c>
      <c r="U121" s="223"/>
      <c r="V121" s="223">
        <f t="shared" si="100"/>
        <v>1</v>
      </c>
      <c r="W121" s="223"/>
      <c r="X121" s="223">
        <f t="shared" si="101"/>
        <v>0.3</v>
      </c>
      <c r="Y121" s="223"/>
      <c r="Z121" s="223">
        <f t="shared" si="95"/>
        <v>1</v>
      </c>
      <c r="AA121" s="223"/>
      <c r="AB121" s="223">
        <f>+Z121*E121</f>
        <v>0.3</v>
      </c>
      <c r="AC121" s="636" t="s">
        <v>1850</v>
      </c>
      <c r="AD121" s="1101" t="s">
        <v>1908</v>
      </c>
      <c r="AE121" s="1100" t="s">
        <v>2275</v>
      </c>
      <c r="AF121" s="1100" t="s">
        <v>2296</v>
      </c>
      <c r="AG121" s="1100" t="s">
        <v>2412</v>
      </c>
      <c r="AH121" s="1100" t="s">
        <v>2447</v>
      </c>
      <c r="AI121" s="1100" t="s">
        <v>2564</v>
      </c>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row>
    <row r="122" spans="1:55" ht="107.4" customHeight="1" thickBot="1" x14ac:dyDescent="0.4">
      <c r="A122" s="184"/>
      <c r="B122" s="1001" t="s">
        <v>788</v>
      </c>
      <c r="C122" s="1002" t="s">
        <v>1481</v>
      </c>
      <c r="D122" s="214" t="s">
        <v>767</v>
      </c>
      <c r="E122" s="203">
        <v>0.05</v>
      </c>
      <c r="F122" s="204">
        <v>1</v>
      </c>
      <c r="G122" s="199">
        <v>0</v>
      </c>
      <c r="H122" s="199">
        <v>0.5</v>
      </c>
      <c r="I122" s="205"/>
      <c r="J122" s="205">
        <f t="shared" si="98"/>
        <v>0.5</v>
      </c>
      <c r="K122" s="205"/>
      <c r="L122" s="205">
        <f t="shared" si="99"/>
        <v>2.5000000000000001E-2</v>
      </c>
      <c r="M122" s="199"/>
      <c r="N122" s="595">
        <v>0</v>
      </c>
      <c r="O122" s="595">
        <v>0</v>
      </c>
      <c r="P122" s="595">
        <v>0</v>
      </c>
      <c r="Q122" s="595">
        <v>0</v>
      </c>
      <c r="R122" s="595">
        <v>0.2</v>
      </c>
      <c r="S122" s="199">
        <f t="shared" si="79"/>
        <v>0.2</v>
      </c>
      <c r="T122" s="199">
        <f t="shared" si="82"/>
        <v>0.2</v>
      </c>
      <c r="U122" s="223"/>
      <c r="V122" s="223">
        <f t="shared" si="100"/>
        <v>0.4</v>
      </c>
      <c r="W122" s="223"/>
      <c r="X122" s="223">
        <f t="shared" si="101"/>
        <v>2.0000000000000004E-2</v>
      </c>
      <c r="Y122" s="223"/>
      <c r="Z122" s="223">
        <f t="shared" si="95"/>
        <v>0.2</v>
      </c>
      <c r="AA122" s="223"/>
      <c r="AB122" s="223">
        <f t="shared" si="90"/>
        <v>1.0000000000000002E-2</v>
      </c>
      <c r="AC122" s="636" t="s">
        <v>1850</v>
      </c>
      <c r="AD122" s="724" t="s">
        <v>1921</v>
      </c>
      <c r="AE122" s="1100" t="s">
        <v>2275</v>
      </c>
      <c r="AF122" s="1100" t="s">
        <v>2296</v>
      </c>
      <c r="AG122" s="1100" t="s">
        <v>2412</v>
      </c>
      <c r="AH122" s="1100" t="s">
        <v>2447</v>
      </c>
      <c r="AI122" s="1100" t="s">
        <v>2564</v>
      </c>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row>
    <row r="123" spans="1:55" ht="103.2" customHeight="1" thickBot="1" x14ac:dyDescent="0.4">
      <c r="A123" s="184"/>
      <c r="B123" s="1001" t="s">
        <v>789</v>
      </c>
      <c r="C123" s="1002" t="s">
        <v>1482</v>
      </c>
      <c r="D123" s="224" t="s">
        <v>838</v>
      </c>
      <c r="E123" s="203">
        <v>0.05</v>
      </c>
      <c r="F123" s="204">
        <v>1</v>
      </c>
      <c r="G123" s="199">
        <v>0</v>
      </c>
      <c r="H123" s="199">
        <v>0.5</v>
      </c>
      <c r="I123" s="205"/>
      <c r="J123" s="205">
        <f t="shared" si="98"/>
        <v>0.5</v>
      </c>
      <c r="K123" s="205"/>
      <c r="L123" s="205">
        <f t="shared" si="99"/>
        <v>2.5000000000000001E-2</v>
      </c>
      <c r="M123" s="199"/>
      <c r="N123" s="595">
        <v>0</v>
      </c>
      <c r="O123" s="595">
        <v>0</v>
      </c>
      <c r="P123" s="595">
        <v>0</v>
      </c>
      <c r="Q123" s="595">
        <v>0</v>
      </c>
      <c r="R123" s="595">
        <v>0.2</v>
      </c>
      <c r="S123" s="199">
        <f t="shared" si="79"/>
        <v>0.2</v>
      </c>
      <c r="T123" s="199">
        <f t="shared" si="82"/>
        <v>0.2</v>
      </c>
      <c r="U123" s="223"/>
      <c r="V123" s="223">
        <f t="shared" si="100"/>
        <v>0.4</v>
      </c>
      <c r="W123" s="223"/>
      <c r="X123" s="223">
        <f t="shared" si="101"/>
        <v>2.0000000000000004E-2</v>
      </c>
      <c r="Y123" s="223"/>
      <c r="Z123" s="223">
        <f t="shared" si="95"/>
        <v>0.2</v>
      </c>
      <c r="AA123" s="223"/>
      <c r="AB123" s="223">
        <f t="shared" si="90"/>
        <v>1.0000000000000002E-2</v>
      </c>
      <c r="AC123" s="636" t="s">
        <v>1850</v>
      </c>
      <c r="AD123" s="724" t="s">
        <v>1921</v>
      </c>
      <c r="AE123" s="1100" t="s">
        <v>2275</v>
      </c>
      <c r="AF123" s="1100" t="s">
        <v>2296</v>
      </c>
      <c r="AG123" s="1100" t="s">
        <v>2412</v>
      </c>
      <c r="AH123" s="1100" t="s">
        <v>2447</v>
      </c>
      <c r="AI123" s="1100" t="s">
        <v>2564</v>
      </c>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row>
    <row r="124" spans="1:55" ht="93" customHeight="1" thickBot="1" x14ac:dyDescent="0.4">
      <c r="A124" s="184"/>
      <c r="B124" s="1327" t="s">
        <v>1800</v>
      </c>
      <c r="C124" s="1328"/>
      <c r="D124" s="225"/>
      <c r="E124" s="187">
        <v>0.2</v>
      </c>
      <c r="F124" s="188">
        <f>+E124*W124</f>
        <v>0.11007500000000002</v>
      </c>
      <c r="G124" s="192"/>
      <c r="H124" s="188">
        <f>+E124*X124</f>
        <v>0</v>
      </c>
      <c r="I124" s="190">
        <f>+(I125+I129)/2</f>
        <v>0.3833333333333333</v>
      </c>
      <c r="J124" s="190">
        <f>+(J125+J129)/2</f>
        <v>0.20555555555555555</v>
      </c>
      <c r="K124" s="191">
        <f>+(K125+K129)/2</f>
        <v>0.1958333333333333</v>
      </c>
      <c r="L124" s="191">
        <f>+(L125+L129)/2</f>
        <v>0.1958333333333333</v>
      </c>
      <c r="M124" s="192"/>
      <c r="N124" s="192"/>
      <c r="O124" s="192"/>
      <c r="P124" s="192"/>
      <c r="Q124" s="192"/>
      <c r="R124" s="1209"/>
      <c r="S124" s="1181"/>
      <c r="T124" s="192"/>
      <c r="U124" s="190">
        <f>+(U125+U129)/2</f>
        <v>0.93366666666666664</v>
      </c>
      <c r="V124" s="190">
        <f>+(V125+V129)/2</f>
        <v>0.71499999999999997</v>
      </c>
      <c r="W124" s="191">
        <f>W125+W129</f>
        <v>0.55037500000000006</v>
      </c>
      <c r="X124" s="191">
        <f>X125+X129</f>
        <v>0</v>
      </c>
      <c r="Y124" s="190">
        <f>(Y125+Y129)/2</f>
        <v>0.24676666666666666</v>
      </c>
      <c r="Z124" s="190">
        <f>(Z125+Z129)/2</f>
        <v>0.35954444444444444</v>
      </c>
      <c r="AA124" s="191">
        <f>AA125+AA129</f>
        <v>0.19011249999999999</v>
      </c>
      <c r="AB124" s="191">
        <f>AB125*E125+AB129*E129</f>
        <v>0.33761249999999998</v>
      </c>
      <c r="AC124" s="663"/>
      <c r="AD124" s="192"/>
      <c r="AE124" s="192"/>
      <c r="AF124" s="192"/>
      <c r="AG124" s="192"/>
      <c r="AH124" s="192"/>
      <c r="AI124" s="186"/>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row>
    <row r="125" spans="1:55" ht="44.4" customHeight="1" thickBot="1" x14ac:dyDescent="0.4">
      <c r="A125" s="184"/>
      <c r="B125" s="1325" t="s">
        <v>1721</v>
      </c>
      <c r="C125" s="1326"/>
      <c r="D125" s="231"/>
      <c r="E125" s="195">
        <v>0.75</v>
      </c>
      <c r="F125" s="216"/>
      <c r="G125" s="192"/>
      <c r="H125" s="192"/>
      <c r="I125" s="198">
        <f>+AVERAGE(I126:I128)</f>
        <v>0.33333333333333331</v>
      </c>
      <c r="J125" s="198">
        <f>+AVERAGE(J126:J128)</f>
        <v>0.1111111111111111</v>
      </c>
      <c r="K125" s="198">
        <f>+K126+K127+K128</f>
        <v>0.16666666666666666</v>
      </c>
      <c r="L125" s="198">
        <f>+L126+L127+L128</f>
        <v>0.16666666666666666</v>
      </c>
      <c r="M125" s="197"/>
      <c r="N125" s="197"/>
      <c r="O125" s="197"/>
      <c r="P125" s="197"/>
      <c r="Q125" s="197"/>
      <c r="R125" s="1210"/>
      <c r="S125" s="199"/>
      <c r="T125" s="197"/>
      <c r="U125" s="221">
        <f>+AVERAGE(U126:U128)</f>
        <v>1</v>
      </c>
      <c r="V125" s="221">
        <f>+AVERAGE(V126:V128)</f>
        <v>0.43</v>
      </c>
      <c r="W125" s="221">
        <f>+(W126+W127+W128)*E125</f>
        <v>0.375</v>
      </c>
      <c r="X125" s="221">
        <f>+(X126+X127+X128)*F125</f>
        <v>0</v>
      </c>
      <c r="Y125" s="198">
        <f>+AVERAGE(Y126:Y128)*0.3</f>
        <v>9.9999999999999992E-2</v>
      </c>
      <c r="Z125" s="198">
        <f>+AVERAGE(Z126:Z128)</f>
        <v>0.15888888888888889</v>
      </c>
      <c r="AA125" s="198">
        <f>+(AA126+AA127+AA128)*E125</f>
        <v>0.125</v>
      </c>
      <c r="AB125" s="198">
        <f>+(AB126+AB127+AB128)</f>
        <v>0.23833333333333331</v>
      </c>
      <c r="AC125" s="663"/>
      <c r="AD125" s="192"/>
      <c r="AE125" s="192"/>
      <c r="AF125" s="192"/>
      <c r="AG125" s="192"/>
      <c r="AH125" s="192"/>
      <c r="AI125" s="186"/>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row>
    <row r="126" spans="1:55" ht="168" customHeight="1" thickBot="1" x14ac:dyDescent="0.4">
      <c r="A126" s="184"/>
      <c r="B126" s="1257" t="s">
        <v>791</v>
      </c>
      <c r="C126" s="1258" t="s">
        <v>1483</v>
      </c>
      <c r="D126" s="236" t="s">
        <v>792</v>
      </c>
      <c r="E126" s="203">
        <v>0.5</v>
      </c>
      <c r="F126" s="204">
        <v>3</v>
      </c>
      <c r="G126" s="199">
        <v>1</v>
      </c>
      <c r="H126" s="199">
        <v>1</v>
      </c>
      <c r="I126" s="205">
        <f>+G126/F126</f>
        <v>0.33333333333333331</v>
      </c>
      <c r="J126" s="205">
        <f t="shared" ref="J126:J128" si="102">+H126/F126</f>
        <v>0.33333333333333331</v>
      </c>
      <c r="K126" s="205">
        <f>+(G126/F126)*E126</f>
        <v>0.16666666666666666</v>
      </c>
      <c r="L126" s="205">
        <f t="shared" ref="L126:L128" si="103">+(H126/F126)*E126</f>
        <v>0.16666666666666666</v>
      </c>
      <c r="M126" s="199">
        <v>1</v>
      </c>
      <c r="N126" s="595">
        <v>0</v>
      </c>
      <c r="O126" s="595">
        <v>0.43</v>
      </c>
      <c r="P126" s="595">
        <v>0</v>
      </c>
      <c r="Q126" s="595">
        <v>0</v>
      </c>
      <c r="R126" s="595"/>
      <c r="S126" s="199">
        <f t="shared" si="79"/>
        <v>0.43</v>
      </c>
      <c r="T126" s="199">
        <f t="shared" ref="T126:T128" si="104">+S126+M126</f>
        <v>1.43</v>
      </c>
      <c r="U126" s="205">
        <f>+(M126/G126)</f>
        <v>1</v>
      </c>
      <c r="V126" s="205">
        <f t="shared" ref="V126" si="105">+S126/H126</f>
        <v>0.43</v>
      </c>
      <c r="W126" s="207">
        <f>+U126*E126</f>
        <v>0.5</v>
      </c>
      <c r="X126" s="207">
        <f t="shared" ref="X126:X128" si="106">+V126*E126</f>
        <v>0.215</v>
      </c>
      <c r="Y126" s="205">
        <f>+M126/F126</f>
        <v>0.33333333333333331</v>
      </c>
      <c r="Z126" s="205">
        <f>+(T126)/F126</f>
        <v>0.47666666666666663</v>
      </c>
      <c r="AA126" s="205">
        <f>+Y126*E126</f>
        <v>0.16666666666666666</v>
      </c>
      <c r="AB126" s="205">
        <f>+Z126*E126</f>
        <v>0.23833333333333331</v>
      </c>
      <c r="AC126" s="636" t="s">
        <v>1850</v>
      </c>
      <c r="AD126" s="1101" t="s">
        <v>1893</v>
      </c>
      <c r="AE126" s="1100" t="s">
        <v>2275</v>
      </c>
      <c r="AF126" s="1100" t="s">
        <v>2296</v>
      </c>
      <c r="AG126" s="1100" t="s">
        <v>2412</v>
      </c>
      <c r="AH126" s="192"/>
      <c r="AI126" s="1100" t="s">
        <v>2564</v>
      </c>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row>
    <row r="127" spans="1:55" ht="94.2" customHeight="1" thickBot="1" x14ac:dyDescent="0.4">
      <c r="A127" s="184"/>
      <c r="B127" s="1255" t="s">
        <v>793</v>
      </c>
      <c r="C127" s="1256" t="s">
        <v>1484</v>
      </c>
      <c r="D127" s="237" t="s">
        <v>794</v>
      </c>
      <c r="E127" s="203">
        <v>0.25</v>
      </c>
      <c r="F127" s="204">
        <v>176</v>
      </c>
      <c r="G127" s="199">
        <v>0</v>
      </c>
      <c r="H127" s="199">
        <v>0</v>
      </c>
      <c r="I127" s="205"/>
      <c r="J127" s="205">
        <f t="shared" si="102"/>
        <v>0</v>
      </c>
      <c r="K127" s="205"/>
      <c r="L127" s="205">
        <f t="shared" si="103"/>
        <v>0</v>
      </c>
      <c r="M127" s="199"/>
      <c r="N127" s="595">
        <v>0</v>
      </c>
      <c r="O127" s="595">
        <v>0</v>
      </c>
      <c r="P127" s="595">
        <v>0</v>
      </c>
      <c r="Q127" s="199"/>
      <c r="R127" s="935"/>
      <c r="S127" s="199">
        <f t="shared" si="79"/>
        <v>0</v>
      </c>
      <c r="T127" s="199">
        <f t="shared" si="104"/>
        <v>0</v>
      </c>
      <c r="U127" s="1133"/>
      <c r="V127" s="223"/>
      <c r="W127" s="223"/>
      <c r="X127" s="223">
        <f t="shared" si="106"/>
        <v>0</v>
      </c>
      <c r="Y127" s="223"/>
      <c r="Z127" s="223">
        <v>0</v>
      </c>
      <c r="AA127" s="223"/>
      <c r="AB127" s="223">
        <f t="shared" ref="AB127:AB128" si="107">+Z127*E127</f>
        <v>0</v>
      </c>
      <c r="AC127" s="636" t="s">
        <v>1850</v>
      </c>
      <c r="AD127" s="719" t="s">
        <v>1920</v>
      </c>
      <c r="AE127" s="1100" t="s">
        <v>2275</v>
      </c>
      <c r="AF127" s="1100" t="s">
        <v>2296</v>
      </c>
      <c r="AG127" s="1100" t="s">
        <v>2374</v>
      </c>
      <c r="AH127" s="1100" t="s">
        <v>2447</v>
      </c>
      <c r="AI127" s="1100" t="s">
        <v>2564</v>
      </c>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row>
    <row r="128" spans="1:55" ht="139.19999999999999" customHeight="1" thickBot="1" x14ac:dyDescent="0.4">
      <c r="A128" s="184"/>
      <c r="B128" s="1257" t="s">
        <v>795</v>
      </c>
      <c r="C128" s="1258" t="s">
        <v>1485</v>
      </c>
      <c r="D128" s="236" t="s">
        <v>794</v>
      </c>
      <c r="E128" s="203">
        <v>0.25</v>
      </c>
      <c r="F128" s="204">
        <v>647</v>
      </c>
      <c r="G128" s="199">
        <v>0</v>
      </c>
      <c r="H128" s="199">
        <v>0</v>
      </c>
      <c r="I128" s="205"/>
      <c r="J128" s="205">
        <f t="shared" si="102"/>
        <v>0</v>
      </c>
      <c r="K128" s="205"/>
      <c r="L128" s="205">
        <f t="shared" si="103"/>
        <v>0</v>
      </c>
      <c r="M128" s="199"/>
      <c r="N128" s="595">
        <v>0</v>
      </c>
      <c r="O128" s="595">
        <v>0</v>
      </c>
      <c r="P128" s="595">
        <v>0</v>
      </c>
      <c r="Q128" s="199"/>
      <c r="R128" s="935"/>
      <c r="S128" s="199">
        <f t="shared" si="79"/>
        <v>0</v>
      </c>
      <c r="T128" s="199">
        <f t="shared" si="104"/>
        <v>0</v>
      </c>
      <c r="U128" s="1133"/>
      <c r="V128" s="223"/>
      <c r="W128" s="223"/>
      <c r="X128" s="223">
        <f t="shared" si="106"/>
        <v>0</v>
      </c>
      <c r="Y128" s="223"/>
      <c r="Z128" s="223">
        <v>0</v>
      </c>
      <c r="AA128" s="223"/>
      <c r="AB128" s="223">
        <f t="shared" si="107"/>
        <v>0</v>
      </c>
      <c r="AC128" s="636" t="s">
        <v>1850</v>
      </c>
      <c r="AD128" s="719" t="s">
        <v>1920</v>
      </c>
      <c r="AE128" s="1100" t="s">
        <v>2275</v>
      </c>
      <c r="AF128" s="1100" t="s">
        <v>2296</v>
      </c>
      <c r="AG128" s="1100" t="s">
        <v>2374</v>
      </c>
      <c r="AH128" s="1100" t="s">
        <v>2447</v>
      </c>
      <c r="AI128" s="1100" t="s">
        <v>2564</v>
      </c>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row>
    <row r="129" spans="1:55" ht="44.4" customHeight="1" thickBot="1" x14ac:dyDescent="0.4">
      <c r="A129" s="184"/>
      <c r="B129" s="1329" t="s">
        <v>1722</v>
      </c>
      <c r="C129" s="1330"/>
      <c r="D129" s="232"/>
      <c r="E129" s="195">
        <v>0.25</v>
      </c>
      <c r="F129" s="204"/>
      <c r="G129" s="199"/>
      <c r="H129" s="199"/>
      <c r="I129" s="198">
        <f>+AVERAGE(I130:I132)</f>
        <v>0.43333333333333335</v>
      </c>
      <c r="J129" s="198">
        <f>+AVERAGE(J130:J132)</f>
        <v>0.3</v>
      </c>
      <c r="K129" s="198">
        <f>+K130+K131+K132</f>
        <v>0.22499999999999998</v>
      </c>
      <c r="L129" s="198">
        <f>+L130+L131+L132</f>
        <v>0.22499999999999998</v>
      </c>
      <c r="M129" s="199"/>
      <c r="N129" s="199"/>
      <c r="O129" s="199"/>
      <c r="P129" s="199"/>
      <c r="Q129" s="199"/>
      <c r="R129" s="935"/>
      <c r="S129" s="199"/>
      <c r="T129" s="199"/>
      <c r="U129" s="221">
        <f>+AVERAGE(U130:U132)</f>
        <v>0.86733333333333329</v>
      </c>
      <c r="V129" s="221">
        <f>+AVERAGE(V130:V132)</f>
        <v>1</v>
      </c>
      <c r="W129" s="221">
        <f>+(W130+W131+W132)*E129</f>
        <v>0.175375</v>
      </c>
      <c r="X129" s="221">
        <f>+(X130+X131+X132)*F129</f>
        <v>0</v>
      </c>
      <c r="Y129" s="198">
        <f>+AVERAGE(Y130:Y132)</f>
        <v>0.39353333333333335</v>
      </c>
      <c r="Z129" s="198">
        <f>+AVERAGE(Z130:Z132)</f>
        <v>0.56020000000000003</v>
      </c>
      <c r="AA129" s="198">
        <f>+(AA130+AA131+AA132)*E129</f>
        <v>6.511249999999999E-2</v>
      </c>
      <c r="AB129" s="198">
        <f>+(AB130+AB131+AB132)</f>
        <v>0.63544999999999996</v>
      </c>
      <c r="AC129" s="663"/>
      <c r="AD129" s="192"/>
      <c r="AE129" s="192"/>
      <c r="AF129" s="192"/>
      <c r="AG129" s="192"/>
      <c r="AH129" s="192"/>
      <c r="AI129" s="186"/>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row>
    <row r="130" spans="1:55" ht="89.4" customHeight="1" thickBot="1" x14ac:dyDescent="0.4">
      <c r="A130" s="184"/>
      <c r="B130" s="1007" t="s">
        <v>796</v>
      </c>
      <c r="C130" s="1008" t="s">
        <v>1486</v>
      </c>
      <c r="D130" s="236" t="s">
        <v>516</v>
      </c>
      <c r="E130" s="203">
        <v>0.05</v>
      </c>
      <c r="F130" s="204">
        <v>2</v>
      </c>
      <c r="G130" s="199">
        <v>1</v>
      </c>
      <c r="H130" s="199">
        <v>0</v>
      </c>
      <c r="I130" s="205">
        <f>+G130/F130</f>
        <v>0.5</v>
      </c>
      <c r="J130" s="205"/>
      <c r="K130" s="205"/>
      <c r="L130" s="205"/>
      <c r="M130" s="199">
        <v>1</v>
      </c>
      <c r="N130" s="595"/>
      <c r="O130" s="595"/>
      <c r="P130" s="595"/>
      <c r="Q130" s="595"/>
      <c r="R130" s="595"/>
      <c r="S130" s="199">
        <f t="shared" si="79"/>
        <v>0</v>
      </c>
      <c r="T130" s="199">
        <f t="shared" ref="T130:T132" si="108">+S130+M130</f>
        <v>1</v>
      </c>
      <c r="U130" s="223">
        <f>+(M130/G130)</f>
        <v>1</v>
      </c>
      <c r="V130" s="223"/>
      <c r="W130" s="223">
        <f>+U130*E130</f>
        <v>0.05</v>
      </c>
      <c r="X130" s="223"/>
      <c r="Y130" s="223">
        <f>+M130/F130</f>
        <v>0.5</v>
      </c>
      <c r="Z130" s="223">
        <f>+T130/F130</f>
        <v>0.5</v>
      </c>
      <c r="AA130" s="223">
        <f>+Y130*E130</f>
        <v>2.5000000000000001E-2</v>
      </c>
      <c r="AB130" s="223">
        <f>+Z130*E130</f>
        <v>2.5000000000000001E-2</v>
      </c>
      <c r="AC130" s="636" t="s">
        <v>1850</v>
      </c>
      <c r="AD130" s="1101" t="s">
        <v>1893</v>
      </c>
      <c r="AE130" s="1100" t="s">
        <v>2275</v>
      </c>
      <c r="AF130" s="1100" t="s">
        <v>2296</v>
      </c>
      <c r="AG130" s="1100" t="s">
        <v>2412</v>
      </c>
      <c r="AH130" s="192"/>
      <c r="AI130" s="1100" t="s">
        <v>2564</v>
      </c>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row>
    <row r="131" spans="1:55" ht="103.2" customHeight="1" thickBot="1" x14ac:dyDescent="0.4">
      <c r="A131" s="184"/>
      <c r="B131" s="1007" t="s">
        <v>797</v>
      </c>
      <c r="C131" s="1008" t="s">
        <v>1487</v>
      </c>
      <c r="D131" s="236" t="s">
        <v>516</v>
      </c>
      <c r="E131" s="203">
        <v>0.2</v>
      </c>
      <c r="F131" s="204">
        <v>2</v>
      </c>
      <c r="G131" s="199">
        <v>1</v>
      </c>
      <c r="H131" s="199">
        <v>0</v>
      </c>
      <c r="I131" s="205">
        <f>+G131/F131</f>
        <v>0.5</v>
      </c>
      <c r="J131" s="205"/>
      <c r="K131" s="205"/>
      <c r="L131" s="205"/>
      <c r="M131" s="199">
        <v>1</v>
      </c>
      <c r="N131" s="595"/>
      <c r="O131" s="595"/>
      <c r="P131" s="595"/>
      <c r="Q131" s="595"/>
      <c r="R131" s="595"/>
      <c r="S131" s="199">
        <f t="shared" si="79"/>
        <v>0</v>
      </c>
      <c r="T131" s="199">
        <f t="shared" si="108"/>
        <v>1</v>
      </c>
      <c r="U131" s="223">
        <f>+(M131/G131)</f>
        <v>1</v>
      </c>
      <c r="V131" s="223"/>
      <c r="W131" s="223">
        <f>+U131*E131</f>
        <v>0.2</v>
      </c>
      <c r="X131" s="223"/>
      <c r="Y131" s="223">
        <f>+M131/F131</f>
        <v>0.5</v>
      </c>
      <c r="Z131" s="223">
        <f t="shared" ref="Z131:Z132" si="109">+T131/F131</f>
        <v>0.5</v>
      </c>
      <c r="AA131" s="223">
        <f>+Y131*E131</f>
        <v>0.1</v>
      </c>
      <c r="AB131" s="223">
        <f>+Z131*E131</f>
        <v>0.1</v>
      </c>
      <c r="AC131" s="636" t="s">
        <v>1850</v>
      </c>
      <c r="AD131" s="1101" t="s">
        <v>1893</v>
      </c>
      <c r="AE131" s="1100" t="s">
        <v>2275</v>
      </c>
      <c r="AF131" s="1100" t="s">
        <v>2296</v>
      </c>
      <c r="AG131" s="1100" t="s">
        <v>2412</v>
      </c>
      <c r="AH131" s="192"/>
      <c r="AI131" s="1100" t="s">
        <v>2564</v>
      </c>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row>
    <row r="132" spans="1:55" ht="145.19999999999999" customHeight="1" thickBot="1" x14ac:dyDescent="0.4">
      <c r="A132" s="184"/>
      <c r="B132" s="1007" t="s">
        <v>798</v>
      </c>
      <c r="C132" s="1008" t="s">
        <v>1488</v>
      </c>
      <c r="D132" s="236" t="s">
        <v>516</v>
      </c>
      <c r="E132" s="203">
        <v>0.75</v>
      </c>
      <c r="F132" s="204">
        <v>500</v>
      </c>
      <c r="G132" s="199">
        <v>150</v>
      </c>
      <c r="H132" s="199">
        <v>150</v>
      </c>
      <c r="I132" s="205">
        <f>+G132/F132</f>
        <v>0.3</v>
      </c>
      <c r="J132" s="205">
        <f t="shared" ref="J132" si="110">+H132/F132</f>
        <v>0.3</v>
      </c>
      <c r="K132" s="205">
        <f>+(G132/F132)*E132</f>
        <v>0.22499999999999998</v>
      </c>
      <c r="L132" s="205">
        <f t="shared" ref="L132" si="111">+(H132/F132)*E132</f>
        <v>0.22499999999999998</v>
      </c>
      <c r="M132" s="199">
        <v>90.3</v>
      </c>
      <c r="N132" s="595">
        <v>0</v>
      </c>
      <c r="O132" s="595">
        <v>25</v>
      </c>
      <c r="P132" s="595">
        <v>52</v>
      </c>
      <c r="Q132" s="595">
        <v>173</v>
      </c>
      <c r="R132" s="935">
        <v>0</v>
      </c>
      <c r="S132" s="199">
        <f t="shared" si="79"/>
        <v>250</v>
      </c>
      <c r="T132" s="199">
        <f t="shared" si="108"/>
        <v>340.3</v>
      </c>
      <c r="U132" s="223">
        <f>+(M132/G132)</f>
        <v>0.60199999999999998</v>
      </c>
      <c r="V132" s="223">
        <v>1</v>
      </c>
      <c r="W132" s="223">
        <f>+U132*E132</f>
        <v>0.45150000000000001</v>
      </c>
      <c r="X132" s="223">
        <f t="shared" ref="X132" si="112">+V132*E132</f>
        <v>0.75</v>
      </c>
      <c r="Y132" s="223">
        <f>+M132/F132</f>
        <v>0.18059999999999998</v>
      </c>
      <c r="Z132" s="223">
        <f t="shared" si="109"/>
        <v>0.68059999999999998</v>
      </c>
      <c r="AA132" s="223">
        <f>+Y132*E132</f>
        <v>0.13544999999999999</v>
      </c>
      <c r="AB132" s="223">
        <f>+Z132*E132</f>
        <v>0.51044999999999996</v>
      </c>
      <c r="AC132" s="636" t="s">
        <v>1850</v>
      </c>
      <c r="AD132" s="1101" t="s">
        <v>1893</v>
      </c>
      <c r="AE132" s="1100" t="s">
        <v>2275</v>
      </c>
      <c r="AF132" s="1100" t="s">
        <v>2296</v>
      </c>
      <c r="AG132" s="1100" t="s">
        <v>2412</v>
      </c>
      <c r="AH132" s="192"/>
      <c r="AI132" s="1100" t="s">
        <v>2564</v>
      </c>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row>
    <row r="133" spans="1:55" ht="15.75" customHeight="1" thickBot="1" x14ac:dyDescent="0.4">
      <c r="A133" s="180"/>
      <c r="B133" s="238"/>
      <c r="C133" s="238"/>
      <c r="D133" s="238"/>
      <c r="E133" s="239"/>
      <c r="F133" s="238"/>
      <c r="G133" s="238"/>
      <c r="H133" s="238"/>
      <c r="I133" s="238"/>
      <c r="J133" s="238"/>
      <c r="K133" s="238"/>
      <c r="L133" s="238"/>
      <c r="M133" s="238"/>
      <c r="N133" s="238"/>
      <c r="O133" s="238"/>
      <c r="P133" s="238"/>
      <c r="Q133" s="238"/>
      <c r="R133" s="238"/>
      <c r="S133" s="238"/>
      <c r="T133" s="238"/>
      <c r="U133" s="238"/>
      <c r="V133" s="238"/>
      <c r="W133" s="238"/>
      <c r="X133" s="238"/>
      <c r="Y133" s="238"/>
      <c r="Z133" s="238"/>
      <c r="AA133" s="238"/>
      <c r="AB133" s="680"/>
      <c r="AC133" s="220"/>
      <c r="AD133" s="238"/>
      <c r="AE133" s="238"/>
      <c r="AF133" s="238"/>
      <c r="AG133" s="238"/>
      <c r="AH133" s="238"/>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row>
    <row r="134" spans="1:55" ht="15.75" customHeight="1" thickBot="1" x14ac:dyDescent="0.4">
      <c r="A134" s="180"/>
      <c r="B134" s="180"/>
      <c r="C134" s="180"/>
      <c r="D134" s="180"/>
      <c r="E134" s="24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row>
    <row r="135" spans="1:55" ht="15.75" customHeight="1" thickBot="1" x14ac:dyDescent="0.4">
      <c r="A135" s="180"/>
      <c r="B135" s="180"/>
      <c r="C135" s="180"/>
      <c r="D135" s="180"/>
      <c r="E135" s="24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row>
    <row r="136" spans="1:55" ht="15.75" customHeight="1" thickBot="1" x14ac:dyDescent="0.4">
      <c r="A136" s="180"/>
      <c r="B136" s="241"/>
      <c r="C136" s="180"/>
      <c r="D136" s="180"/>
      <c r="E136" s="24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row>
    <row r="137" spans="1:55" ht="15.75" customHeight="1" thickBot="1" x14ac:dyDescent="0.4">
      <c r="A137" s="180"/>
      <c r="B137" s="180"/>
      <c r="C137" s="180"/>
      <c r="D137" s="180"/>
      <c r="E137" s="24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row>
    <row r="138" spans="1:55" ht="15.75" customHeight="1" thickBot="1" x14ac:dyDescent="0.4">
      <c r="A138" s="180"/>
      <c r="B138" s="180"/>
      <c r="C138" s="180"/>
      <c r="D138" s="180"/>
      <c r="E138" s="24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row>
    <row r="139" spans="1:55" ht="15.75" customHeight="1" thickBot="1" x14ac:dyDescent="0.4">
      <c r="A139" s="180"/>
      <c r="B139" s="180"/>
      <c r="C139" s="180"/>
      <c r="D139" s="180"/>
      <c r="E139" s="24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row>
    <row r="140" spans="1:55" ht="15.75" customHeight="1" thickBot="1" x14ac:dyDescent="0.4">
      <c r="A140" s="180"/>
      <c r="B140" s="180"/>
      <c r="C140" s="180"/>
      <c r="D140" s="180"/>
      <c r="E140" s="24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row>
    <row r="141" spans="1:55" ht="15.75" customHeight="1" thickBot="1" x14ac:dyDescent="0.4">
      <c r="A141" s="180"/>
      <c r="B141" s="180"/>
      <c r="C141" s="180"/>
      <c r="D141" s="180"/>
      <c r="E141" s="24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row>
    <row r="142" spans="1:55" ht="15.75" customHeight="1" thickBot="1" x14ac:dyDescent="0.4">
      <c r="A142" s="180"/>
      <c r="B142" s="180"/>
      <c r="C142" s="180"/>
      <c r="D142" s="180"/>
      <c r="E142" s="24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row>
    <row r="143" spans="1:55" ht="15.75" customHeight="1" thickBot="1" x14ac:dyDescent="0.4">
      <c r="A143" s="180"/>
      <c r="B143" s="180"/>
      <c r="C143" s="180"/>
      <c r="D143" s="180"/>
      <c r="E143" s="24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row>
    <row r="144" spans="1:55" ht="15.75" customHeight="1" thickBot="1" x14ac:dyDescent="0.4">
      <c r="A144" s="180"/>
      <c r="B144" s="180"/>
      <c r="C144" s="180"/>
      <c r="D144" s="180"/>
      <c r="E144" s="24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row>
    <row r="145" spans="1:55" ht="15.75" customHeight="1" thickBot="1" x14ac:dyDescent="0.4">
      <c r="A145" s="180"/>
      <c r="B145" s="180"/>
      <c r="C145" s="180"/>
      <c r="D145" s="180"/>
      <c r="E145" s="24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row>
    <row r="146" spans="1:55" ht="15.75" customHeight="1" thickBot="1" x14ac:dyDescent="0.4">
      <c r="A146" s="180"/>
      <c r="B146" s="180"/>
      <c r="C146" s="180"/>
      <c r="D146" s="180"/>
      <c r="E146" s="24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row>
    <row r="147" spans="1:55" ht="15.75" customHeight="1" thickBot="1" x14ac:dyDescent="0.4">
      <c r="A147" s="180"/>
      <c r="B147" s="180"/>
      <c r="C147" s="180"/>
      <c r="D147" s="180"/>
      <c r="E147" s="24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row>
    <row r="148" spans="1:55" ht="15.75" customHeight="1" thickBot="1" x14ac:dyDescent="0.4">
      <c r="A148" s="180"/>
      <c r="B148" s="180"/>
      <c r="C148" s="180"/>
      <c r="D148" s="180"/>
      <c r="E148" s="24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row>
    <row r="149" spans="1:55" ht="15.75" customHeight="1" thickBot="1" x14ac:dyDescent="0.4">
      <c r="A149" s="180"/>
      <c r="B149" s="180"/>
      <c r="C149" s="180"/>
      <c r="D149" s="180"/>
      <c r="E149" s="24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row>
    <row r="150" spans="1:55" ht="15.75" customHeight="1" thickBot="1" x14ac:dyDescent="0.4">
      <c r="A150" s="180"/>
      <c r="B150" s="180"/>
      <c r="C150" s="180"/>
      <c r="D150" s="180"/>
      <c r="E150" s="24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row>
    <row r="151" spans="1:55" ht="15.75" customHeight="1" thickBot="1" x14ac:dyDescent="0.4">
      <c r="A151" s="180"/>
      <c r="B151" s="180"/>
      <c r="C151" s="180"/>
      <c r="D151" s="180"/>
      <c r="E151" s="24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row>
    <row r="152" spans="1:55" ht="15.75" customHeight="1" thickBot="1" x14ac:dyDescent="0.4">
      <c r="A152" s="180"/>
      <c r="B152" s="180"/>
      <c r="C152" s="180"/>
      <c r="D152" s="180"/>
      <c r="E152" s="24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row>
    <row r="153" spans="1:55" ht="15.75" customHeight="1" thickBot="1" x14ac:dyDescent="0.4">
      <c r="A153" s="180"/>
      <c r="B153" s="180"/>
      <c r="C153" s="180"/>
      <c r="D153" s="180"/>
      <c r="E153" s="24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row>
    <row r="154" spans="1:55" ht="15.75" customHeight="1" thickBot="1" x14ac:dyDescent="0.4">
      <c r="A154" s="180"/>
      <c r="B154" s="180"/>
      <c r="C154" s="180"/>
      <c r="D154" s="180"/>
      <c r="E154" s="24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row>
    <row r="155" spans="1:55" ht="15.75" customHeight="1" thickBot="1" x14ac:dyDescent="0.4">
      <c r="A155" s="180"/>
      <c r="B155" s="180"/>
      <c r="C155" s="180"/>
      <c r="D155" s="180"/>
      <c r="E155" s="24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row>
    <row r="156" spans="1:55" ht="15.75" customHeight="1" thickBot="1" x14ac:dyDescent="0.4">
      <c r="A156" s="180"/>
      <c r="B156" s="180"/>
      <c r="C156" s="180"/>
      <c r="D156" s="180"/>
      <c r="E156" s="24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row>
    <row r="157" spans="1:55" ht="15.75" customHeight="1" thickBot="1" x14ac:dyDescent="0.4">
      <c r="A157" s="180"/>
      <c r="B157" s="180"/>
      <c r="C157" s="180"/>
      <c r="D157" s="180"/>
      <c r="E157" s="24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row>
    <row r="158" spans="1:55" ht="15.75" customHeight="1" thickBot="1" x14ac:dyDescent="0.4">
      <c r="A158" s="180"/>
      <c r="B158" s="180"/>
      <c r="C158" s="180"/>
      <c r="D158" s="180"/>
      <c r="E158" s="24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row>
    <row r="159" spans="1:55" ht="15.75" customHeight="1" thickBot="1" x14ac:dyDescent="0.4">
      <c r="A159" s="180"/>
      <c r="B159" s="180"/>
      <c r="C159" s="180"/>
      <c r="D159" s="180"/>
      <c r="E159" s="24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row>
    <row r="160" spans="1:55" ht="15.75" customHeight="1" thickBot="1" x14ac:dyDescent="0.4">
      <c r="A160" s="180"/>
      <c r="B160" s="180"/>
      <c r="C160" s="180"/>
      <c r="D160" s="180"/>
      <c r="E160" s="24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row>
    <row r="161" spans="1:55" ht="15.75" customHeight="1" thickBot="1" x14ac:dyDescent="0.4">
      <c r="A161" s="180"/>
      <c r="B161" s="180"/>
      <c r="C161" s="180"/>
      <c r="D161" s="180"/>
      <c r="E161" s="24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row>
    <row r="162" spans="1:55" ht="15.75" customHeight="1" thickBot="1" x14ac:dyDescent="0.4">
      <c r="A162" s="180"/>
      <c r="B162" s="180"/>
      <c r="C162" s="180"/>
      <c r="D162" s="180"/>
      <c r="E162" s="24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row>
    <row r="163" spans="1:55" ht="15.75" customHeight="1" thickBot="1" x14ac:dyDescent="0.4">
      <c r="A163" s="180"/>
      <c r="B163" s="180"/>
      <c r="C163" s="180"/>
      <c r="D163" s="180"/>
      <c r="E163" s="24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row>
    <row r="164" spans="1:55" ht="15.75" customHeight="1" thickBot="1" x14ac:dyDescent="0.4">
      <c r="A164" s="180"/>
      <c r="B164" s="180"/>
      <c r="C164" s="180"/>
      <c r="D164" s="180"/>
      <c r="E164" s="24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row>
    <row r="165" spans="1:55" ht="15.75" customHeight="1" thickBot="1" x14ac:dyDescent="0.4">
      <c r="A165" s="180"/>
      <c r="B165" s="180"/>
      <c r="C165" s="180"/>
      <c r="D165" s="180"/>
      <c r="E165" s="24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row>
    <row r="166" spans="1:55" ht="15.75" customHeight="1" thickBot="1" x14ac:dyDescent="0.4">
      <c r="A166" s="180"/>
      <c r="B166" s="180"/>
      <c r="C166" s="180"/>
      <c r="D166" s="180"/>
      <c r="E166" s="24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row>
    <row r="167" spans="1:55" ht="15.75" customHeight="1" thickBot="1" x14ac:dyDescent="0.4">
      <c r="A167" s="180"/>
      <c r="B167" s="180"/>
      <c r="C167" s="180"/>
      <c r="D167" s="180"/>
      <c r="E167" s="24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row>
    <row r="168" spans="1:55" ht="15.75" customHeight="1" thickBot="1" x14ac:dyDescent="0.4">
      <c r="A168" s="180"/>
      <c r="B168" s="180"/>
      <c r="C168" s="180"/>
      <c r="D168" s="180"/>
      <c r="E168" s="24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row>
    <row r="169" spans="1:55" ht="15.75" customHeight="1" thickBot="1" x14ac:dyDescent="0.4">
      <c r="A169" s="180"/>
      <c r="B169" s="180"/>
      <c r="C169" s="180"/>
      <c r="D169" s="180"/>
      <c r="E169" s="24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row>
    <row r="170" spans="1:55" ht="15.75" customHeight="1" thickBot="1" x14ac:dyDescent="0.4">
      <c r="A170" s="180"/>
      <c r="B170" s="180"/>
      <c r="C170" s="180"/>
      <c r="D170" s="180"/>
      <c r="E170" s="24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row>
    <row r="171" spans="1:55" ht="15.75" customHeight="1" thickBot="1" x14ac:dyDescent="0.4">
      <c r="A171" s="180"/>
      <c r="B171" s="180"/>
      <c r="C171" s="180"/>
      <c r="D171" s="180"/>
      <c r="E171" s="24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row>
    <row r="172" spans="1:55" ht="15.75" customHeight="1" thickBot="1" x14ac:dyDescent="0.4">
      <c r="A172" s="180"/>
      <c r="B172" s="180"/>
      <c r="C172" s="180"/>
      <c r="D172" s="180"/>
      <c r="E172" s="24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row>
    <row r="173" spans="1:55" ht="15.75" customHeight="1" thickBot="1" x14ac:dyDescent="0.4">
      <c r="A173" s="180"/>
      <c r="B173" s="180"/>
      <c r="C173" s="180"/>
      <c r="D173" s="180"/>
      <c r="E173" s="24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row>
    <row r="174" spans="1:55" ht="15.75" customHeight="1" thickBot="1" x14ac:dyDescent="0.4">
      <c r="A174" s="180"/>
      <c r="B174" s="180"/>
      <c r="C174" s="180"/>
      <c r="D174" s="180"/>
      <c r="E174" s="24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row>
    <row r="175" spans="1:55" ht="15.75" customHeight="1" thickBot="1" x14ac:dyDescent="0.4">
      <c r="A175" s="180"/>
      <c r="B175" s="180"/>
      <c r="C175" s="180"/>
      <c r="D175" s="180"/>
      <c r="E175" s="24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row>
    <row r="176" spans="1:55" ht="15.75" customHeight="1" thickBot="1" x14ac:dyDescent="0.4">
      <c r="A176" s="180"/>
      <c r="B176" s="180"/>
      <c r="C176" s="180"/>
      <c r="D176" s="180"/>
      <c r="E176" s="24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row>
    <row r="177" spans="1:55" ht="15.75" customHeight="1" thickBot="1" x14ac:dyDescent="0.4">
      <c r="A177" s="180"/>
      <c r="B177" s="180"/>
      <c r="C177" s="180"/>
      <c r="D177" s="180"/>
      <c r="E177" s="24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row>
    <row r="178" spans="1:55" ht="15.75" customHeight="1" thickBot="1" x14ac:dyDescent="0.4">
      <c r="A178" s="180"/>
      <c r="B178" s="180"/>
      <c r="C178" s="180"/>
      <c r="D178" s="180"/>
      <c r="E178" s="24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row>
    <row r="179" spans="1:55" ht="15.75" customHeight="1" thickBot="1" x14ac:dyDescent="0.4">
      <c r="A179" s="180"/>
      <c r="B179" s="180"/>
      <c r="C179" s="180"/>
      <c r="D179" s="180"/>
      <c r="E179" s="24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row>
    <row r="180" spans="1:55" ht="15.75" customHeight="1" thickBot="1" x14ac:dyDescent="0.4">
      <c r="A180" s="180"/>
      <c r="B180" s="180"/>
      <c r="C180" s="180"/>
      <c r="D180" s="180"/>
      <c r="E180" s="24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row>
    <row r="181" spans="1:55" ht="15.75" customHeight="1" thickBot="1" x14ac:dyDescent="0.4">
      <c r="A181" s="180"/>
      <c r="B181" s="180"/>
      <c r="C181" s="180"/>
      <c r="D181" s="180"/>
      <c r="E181" s="24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row>
    <row r="182" spans="1:55" ht="15.75" customHeight="1" thickBot="1" x14ac:dyDescent="0.4">
      <c r="A182" s="180"/>
      <c r="B182" s="180"/>
      <c r="C182" s="180"/>
      <c r="D182" s="180"/>
      <c r="E182" s="24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row>
    <row r="183" spans="1:55" ht="15.75" customHeight="1" thickBot="1" x14ac:dyDescent="0.4">
      <c r="A183" s="180"/>
      <c r="B183" s="180"/>
      <c r="C183" s="180"/>
      <c r="D183" s="180"/>
      <c r="E183" s="24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row>
    <row r="184" spans="1:55" ht="15.75" customHeight="1" thickBot="1" x14ac:dyDescent="0.4">
      <c r="A184" s="180"/>
      <c r="B184" s="180"/>
      <c r="C184" s="180"/>
      <c r="D184" s="180"/>
      <c r="E184" s="24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row>
    <row r="185" spans="1:55" ht="15.75" customHeight="1" thickBot="1" x14ac:dyDescent="0.4">
      <c r="A185" s="180"/>
      <c r="B185" s="180"/>
      <c r="C185" s="180"/>
      <c r="D185" s="180"/>
      <c r="E185" s="24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row>
    <row r="186" spans="1:55" ht="15.75" customHeight="1" thickBot="1" x14ac:dyDescent="0.4">
      <c r="A186" s="180"/>
      <c r="B186" s="180"/>
      <c r="C186" s="180"/>
      <c r="D186" s="180"/>
      <c r="E186" s="24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row>
    <row r="187" spans="1:55" ht="15.75" customHeight="1" thickBot="1" x14ac:dyDescent="0.4">
      <c r="A187" s="180"/>
      <c r="B187" s="180"/>
      <c r="C187" s="180"/>
      <c r="D187" s="180"/>
      <c r="E187" s="24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row>
    <row r="188" spans="1:55" ht="15.75" customHeight="1" thickBot="1" x14ac:dyDescent="0.4">
      <c r="A188" s="180"/>
      <c r="B188" s="180"/>
      <c r="C188" s="180"/>
      <c r="D188" s="180"/>
      <c r="E188" s="24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row>
    <row r="189" spans="1:55" ht="15.75" customHeight="1" thickBot="1" x14ac:dyDescent="0.4">
      <c r="A189" s="180"/>
      <c r="B189" s="180"/>
      <c r="C189" s="180"/>
      <c r="D189" s="180"/>
      <c r="E189" s="24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row>
    <row r="190" spans="1:55" ht="15.75" customHeight="1" thickBot="1" x14ac:dyDescent="0.4">
      <c r="A190" s="180"/>
      <c r="B190" s="180"/>
      <c r="C190" s="180"/>
      <c r="D190" s="180"/>
      <c r="E190" s="24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row>
    <row r="191" spans="1:55" ht="15.75" customHeight="1" thickBot="1" x14ac:dyDescent="0.4">
      <c r="A191" s="180"/>
      <c r="B191" s="180"/>
      <c r="C191" s="180"/>
      <c r="D191" s="180"/>
      <c r="E191" s="24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row>
    <row r="192" spans="1:55" ht="15.75" customHeight="1" thickBot="1" x14ac:dyDescent="0.4">
      <c r="A192" s="180"/>
      <c r="B192" s="180"/>
      <c r="C192" s="180"/>
      <c r="D192" s="180"/>
      <c r="E192" s="24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row>
    <row r="193" spans="1:55" ht="15.75" customHeight="1" thickBot="1" x14ac:dyDescent="0.4">
      <c r="A193" s="180"/>
      <c r="B193" s="180"/>
      <c r="C193" s="180"/>
      <c r="D193" s="180"/>
      <c r="E193" s="24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row>
    <row r="194" spans="1:55" ht="15.75" customHeight="1" thickBot="1" x14ac:dyDescent="0.4">
      <c r="A194" s="180"/>
      <c r="B194" s="180"/>
      <c r="C194" s="180"/>
      <c r="D194" s="180"/>
      <c r="E194" s="24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row>
    <row r="195" spans="1:55" ht="15.75" customHeight="1" thickBot="1" x14ac:dyDescent="0.4">
      <c r="A195" s="180"/>
      <c r="B195" s="180"/>
      <c r="C195" s="180"/>
      <c r="D195" s="180"/>
      <c r="E195" s="24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row>
    <row r="196" spans="1:55" ht="15.75" customHeight="1" thickBot="1" x14ac:dyDescent="0.4">
      <c r="A196" s="180"/>
      <c r="B196" s="180"/>
      <c r="C196" s="180"/>
      <c r="D196" s="180"/>
      <c r="E196" s="24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row>
    <row r="197" spans="1:55" ht="15.75" customHeight="1" thickBot="1" x14ac:dyDescent="0.4">
      <c r="A197" s="180"/>
      <c r="B197" s="180"/>
      <c r="C197" s="180"/>
      <c r="D197" s="180"/>
      <c r="E197" s="24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row>
    <row r="198" spans="1:55" ht="15.75" customHeight="1" thickBot="1" x14ac:dyDescent="0.4">
      <c r="A198" s="180"/>
      <c r="B198" s="180"/>
      <c r="C198" s="180"/>
      <c r="D198" s="180"/>
      <c r="E198" s="24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row>
    <row r="199" spans="1:55" ht="15.75" customHeight="1" thickBot="1" x14ac:dyDescent="0.4">
      <c r="A199" s="180"/>
      <c r="B199" s="180"/>
      <c r="C199" s="180"/>
      <c r="D199" s="180"/>
      <c r="E199" s="24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row>
    <row r="200" spans="1:55" ht="15.75" customHeight="1" thickBot="1" x14ac:dyDescent="0.4">
      <c r="A200" s="180"/>
      <c r="B200" s="180"/>
      <c r="C200" s="180"/>
      <c r="D200" s="180"/>
      <c r="E200" s="24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row>
    <row r="201" spans="1:55" ht="15.75" customHeight="1" thickBot="1" x14ac:dyDescent="0.4">
      <c r="A201" s="180"/>
      <c r="B201" s="180"/>
      <c r="C201" s="180"/>
      <c r="D201" s="180"/>
      <c r="E201" s="24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row>
    <row r="202" spans="1:55" ht="15.75" customHeight="1" thickBot="1" x14ac:dyDescent="0.4">
      <c r="A202" s="180"/>
      <c r="B202" s="180"/>
      <c r="C202" s="180"/>
      <c r="D202" s="180"/>
      <c r="E202" s="24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row>
    <row r="203" spans="1:55" ht="15.75" customHeight="1" thickBot="1" x14ac:dyDescent="0.4">
      <c r="A203" s="180"/>
      <c r="B203" s="180"/>
      <c r="C203" s="180"/>
      <c r="D203" s="180"/>
      <c r="E203" s="24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row>
    <row r="204" spans="1:55" ht="15.75" customHeight="1" thickBot="1" x14ac:dyDescent="0.4">
      <c r="A204" s="180"/>
      <c r="B204" s="180"/>
      <c r="C204" s="180"/>
      <c r="D204" s="180"/>
      <c r="E204" s="24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row>
    <row r="205" spans="1:55" ht="15.75" customHeight="1" thickBot="1" x14ac:dyDescent="0.4">
      <c r="A205" s="180"/>
      <c r="B205" s="180"/>
      <c r="C205" s="180"/>
      <c r="D205" s="180"/>
      <c r="E205" s="24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row>
    <row r="206" spans="1:55" ht="15.75" customHeight="1" thickBot="1" x14ac:dyDescent="0.4">
      <c r="A206" s="180"/>
      <c r="B206" s="180"/>
      <c r="C206" s="180"/>
      <c r="D206" s="180"/>
      <c r="E206" s="24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row>
    <row r="207" spans="1:55" ht="15.75" customHeight="1" thickBot="1" x14ac:dyDescent="0.4">
      <c r="A207" s="180"/>
      <c r="B207" s="180"/>
      <c r="C207" s="180"/>
      <c r="D207" s="180"/>
      <c r="E207" s="24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row>
    <row r="208" spans="1:55" ht="15.75" customHeight="1" thickBot="1" x14ac:dyDescent="0.4">
      <c r="A208" s="180"/>
      <c r="B208" s="180"/>
      <c r="C208" s="180"/>
      <c r="D208" s="180"/>
      <c r="E208" s="24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row>
    <row r="209" spans="1:55" ht="15.75" customHeight="1" thickBot="1" x14ac:dyDescent="0.4">
      <c r="A209" s="180"/>
      <c r="B209" s="180"/>
      <c r="C209" s="180"/>
      <c r="D209" s="180"/>
      <c r="E209" s="24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row>
    <row r="210" spans="1:55" ht="15.75" customHeight="1" thickBot="1" x14ac:dyDescent="0.4">
      <c r="A210" s="180"/>
      <c r="B210" s="180"/>
      <c r="C210" s="180"/>
      <c r="D210" s="180"/>
      <c r="E210" s="24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row>
    <row r="211" spans="1:55" ht="15.75" customHeight="1" thickBot="1" x14ac:dyDescent="0.4">
      <c r="A211" s="180"/>
      <c r="B211" s="180"/>
      <c r="C211" s="180"/>
      <c r="D211" s="180"/>
      <c r="E211" s="24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row>
    <row r="212" spans="1:55" ht="15.75" customHeight="1" thickBot="1" x14ac:dyDescent="0.4">
      <c r="A212" s="180"/>
      <c r="B212" s="180"/>
      <c r="C212" s="180"/>
      <c r="D212" s="180"/>
      <c r="E212" s="24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row>
    <row r="213" spans="1:55" ht="15.75" customHeight="1" thickBot="1" x14ac:dyDescent="0.4">
      <c r="A213" s="180"/>
      <c r="B213" s="180"/>
      <c r="C213" s="180"/>
      <c r="D213" s="180"/>
      <c r="E213" s="24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row>
    <row r="214" spans="1:55" ht="15.75" customHeight="1" thickBot="1" x14ac:dyDescent="0.4">
      <c r="A214" s="180"/>
      <c r="B214" s="180"/>
      <c r="C214" s="180"/>
      <c r="D214" s="180"/>
      <c r="E214" s="24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row>
    <row r="215" spans="1:55" ht="15.75" customHeight="1" thickBot="1" x14ac:dyDescent="0.4">
      <c r="A215" s="180"/>
      <c r="B215" s="180"/>
      <c r="C215" s="180"/>
      <c r="D215" s="180"/>
      <c r="E215" s="24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row>
    <row r="216" spans="1:55" ht="15.75" customHeight="1" thickBot="1" x14ac:dyDescent="0.4">
      <c r="A216" s="180"/>
      <c r="B216" s="180"/>
      <c r="C216" s="180"/>
      <c r="D216" s="180"/>
      <c r="E216" s="24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row>
    <row r="217" spans="1:55" ht="15.75" customHeight="1" thickBot="1" x14ac:dyDescent="0.4">
      <c r="A217" s="180"/>
      <c r="B217" s="180"/>
      <c r="C217" s="180"/>
      <c r="D217" s="180"/>
      <c r="E217" s="24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row>
    <row r="218" spans="1:55" ht="15.75" customHeight="1" thickBot="1" x14ac:dyDescent="0.4">
      <c r="A218" s="180"/>
      <c r="B218" s="180"/>
      <c r="C218" s="180"/>
      <c r="D218" s="180"/>
      <c r="E218" s="24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row>
    <row r="219" spans="1:55" ht="15.75" customHeight="1" thickBot="1" x14ac:dyDescent="0.4">
      <c r="A219" s="180"/>
      <c r="B219" s="180"/>
      <c r="C219" s="180"/>
      <c r="D219" s="180"/>
      <c r="E219" s="24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row>
    <row r="220" spans="1:55" ht="15.75" customHeight="1" thickBot="1" x14ac:dyDescent="0.4">
      <c r="A220" s="180"/>
      <c r="B220" s="180"/>
      <c r="C220" s="180"/>
      <c r="D220" s="180"/>
      <c r="E220" s="24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row>
    <row r="221" spans="1:55" ht="15.75" customHeight="1" thickBot="1" x14ac:dyDescent="0.4">
      <c r="A221" s="180"/>
      <c r="B221" s="180"/>
      <c r="C221" s="180"/>
      <c r="D221" s="180"/>
      <c r="E221" s="24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row>
    <row r="222" spans="1:55" ht="15.75" customHeight="1" thickBot="1" x14ac:dyDescent="0.4">
      <c r="A222" s="180"/>
      <c r="B222" s="180"/>
      <c r="C222" s="180"/>
      <c r="D222" s="180"/>
      <c r="E222" s="24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row>
    <row r="223" spans="1:55" ht="15.75" customHeight="1" thickBot="1" x14ac:dyDescent="0.4">
      <c r="A223" s="180"/>
      <c r="B223" s="180"/>
      <c r="C223" s="180"/>
      <c r="D223" s="180"/>
      <c r="E223" s="24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row>
    <row r="224" spans="1:55" ht="15.75" customHeight="1" thickBot="1" x14ac:dyDescent="0.4">
      <c r="A224" s="180"/>
      <c r="B224" s="180"/>
      <c r="C224" s="180"/>
      <c r="D224" s="180"/>
      <c r="E224" s="24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row>
    <row r="225" spans="1:55" ht="15.75" customHeight="1" thickBot="1" x14ac:dyDescent="0.4">
      <c r="A225" s="180"/>
      <c r="B225" s="180"/>
      <c r="C225" s="180"/>
      <c r="D225" s="180"/>
      <c r="E225" s="24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row>
    <row r="226" spans="1:55" ht="15.75" customHeight="1" thickBot="1" x14ac:dyDescent="0.4">
      <c r="A226" s="180"/>
      <c r="B226" s="180"/>
      <c r="C226" s="180"/>
      <c r="D226" s="180"/>
      <c r="E226" s="24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80"/>
      <c r="AR226" s="180"/>
      <c r="AS226" s="180"/>
      <c r="AT226" s="180"/>
      <c r="AU226" s="180"/>
      <c r="AV226" s="180"/>
      <c r="AW226" s="180"/>
      <c r="AX226" s="180"/>
      <c r="AY226" s="180"/>
      <c r="AZ226" s="180"/>
      <c r="BA226" s="180"/>
      <c r="BB226" s="180"/>
      <c r="BC226" s="180"/>
    </row>
    <row r="227" spans="1:55" ht="15.75" customHeight="1" thickBot="1" x14ac:dyDescent="0.4">
      <c r="A227" s="180"/>
      <c r="B227" s="180"/>
      <c r="C227" s="180"/>
      <c r="D227" s="180"/>
      <c r="E227" s="24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row>
    <row r="228" spans="1:55" ht="15.75" customHeight="1" thickBot="1" x14ac:dyDescent="0.4">
      <c r="A228" s="180"/>
      <c r="B228" s="180"/>
      <c r="C228" s="180"/>
      <c r="D228" s="180"/>
      <c r="E228" s="24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row>
    <row r="229" spans="1:55" ht="15.75" customHeight="1" thickBot="1" x14ac:dyDescent="0.4">
      <c r="A229" s="180"/>
      <c r="B229" s="180"/>
      <c r="C229" s="180"/>
      <c r="D229" s="180"/>
      <c r="E229" s="24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row>
    <row r="230" spans="1:55" ht="15.75" customHeight="1" thickBot="1" x14ac:dyDescent="0.4">
      <c r="A230" s="180"/>
      <c r="B230" s="180"/>
      <c r="C230" s="180"/>
      <c r="D230" s="180"/>
      <c r="E230" s="24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row>
    <row r="231" spans="1:55" ht="15.75" customHeight="1" thickBot="1" x14ac:dyDescent="0.4">
      <c r="A231" s="180"/>
      <c r="B231" s="180"/>
      <c r="C231" s="180"/>
      <c r="D231" s="180"/>
      <c r="E231" s="24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row>
    <row r="232" spans="1:55" ht="15.75" customHeight="1" thickBot="1" x14ac:dyDescent="0.4">
      <c r="A232" s="180"/>
      <c r="B232" s="180"/>
      <c r="C232" s="180"/>
      <c r="D232" s="180"/>
      <c r="E232" s="24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row>
    <row r="233" spans="1:55" ht="15.75" customHeight="1" thickBot="1" x14ac:dyDescent="0.4">
      <c r="A233" s="180"/>
      <c r="B233" s="180"/>
      <c r="C233" s="180"/>
      <c r="D233" s="180"/>
      <c r="E233" s="24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row>
    <row r="234" spans="1:55" ht="15.75" customHeight="1" thickBot="1" x14ac:dyDescent="0.4">
      <c r="A234" s="180"/>
      <c r="B234" s="180"/>
      <c r="C234" s="180"/>
      <c r="D234" s="180"/>
      <c r="E234" s="24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row>
    <row r="235" spans="1:55" ht="15.75" customHeight="1" thickBot="1" x14ac:dyDescent="0.4">
      <c r="A235" s="180"/>
      <c r="B235" s="180"/>
      <c r="C235" s="180"/>
      <c r="D235" s="180"/>
      <c r="E235" s="24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80"/>
      <c r="AR235" s="180"/>
      <c r="AS235" s="180"/>
      <c r="AT235" s="180"/>
      <c r="AU235" s="180"/>
      <c r="AV235" s="180"/>
      <c r="AW235" s="180"/>
      <c r="AX235" s="180"/>
      <c r="AY235" s="180"/>
      <c r="AZ235" s="180"/>
      <c r="BA235" s="180"/>
      <c r="BB235" s="180"/>
      <c r="BC235" s="180"/>
    </row>
    <row r="236" spans="1:55" ht="15.75" customHeight="1" thickBot="1" x14ac:dyDescent="0.4">
      <c r="A236" s="180"/>
      <c r="B236" s="180"/>
      <c r="C236" s="180"/>
      <c r="D236" s="180"/>
      <c r="E236" s="24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row>
    <row r="237" spans="1:55" ht="15.75" customHeight="1" thickBot="1" x14ac:dyDescent="0.4">
      <c r="A237" s="180"/>
      <c r="B237" s="180"/>
      <c r="C237" s="180"/>
      <c r="D237" s="180"/>
      <c r="E237" s="24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row>
    <row r="238" spans="1:55" ht="15.75" customHeight="1" thickBot="1" x14ac:dyDescent="0.4">
      <c r="A238" s="180"/>
      <c r="B238" s="180"/>
      <c r="C238" s="180"/>
      <c r="D238" s="180"/>
      <c r="E238" s="24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row>
    <row r="239" spans="1:55" ht="15.75" customHeight="1" thickBot="1" x14ac:dyDescent="0.4">
      <c r="A239" s="180"/>
      <c r="B239" s="180"/>
      <c r="C239" s="180"/>
      <c r="D239" s="180"/>
      <c r="E239" s="24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row>
    <row r="240" spans="1:55" ht="15.75" customHeight="1" thickBot="1" x14ac:dyDescent="0.4">
      <c r="A240" s="180"/>
      <c r="B240" s="180"/>
      <c r="C240" s="180"/>
      <c r="D240" s="180"/>
      <c r="E240" s="24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row>
    <row r="241" spans="1:55" ht="15.75" customHeight="1" thickBot="1" x14ac:dyDescent="0.4">
      <c r="A241" s="180"/>
      <c r="B241" s="180"/>
      <c r="C241" s="180"/>
      <c r="D241" s="180"/>
      <c r="E241" s="24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row>
    <row r="242" spans="1:55" ht="15.75" customHeight="1" thickBot="1" x14ac:dyDescent="0.4">
      <c r="A242" s="180"/>
      <c r="B242" s="180"/>
      <c r="C242" s="180"/>
      <c r="D242" s="180"/>
      <c r="E242" s="24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row>
    <row r="243" spans="1:55" ht="15.75" customHeight="1" thickBot="1" x14ac:dyDescent="0.4">
      <c r="A243" s="180"/>
      <c r="B243" s="180"/>
      <c r="C243" s="180"/>
      <c r="D243" s="180"/>
      <c r="E243" s="24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row>
    <row r="244" spans="1:55" ht="15.75" customHeight="1" thickBot="1" x14ac:dyDescent="0.4">
      <c r="A244" s="180"/>
      <c r="B244" s="180"/>
      <c r="C244" s="180"/>
      <c r="D244" s="180"/>
      <c r="E244" s="24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row>
    <row r="245" spans="1:55" ht="15.75" customHeight="1" thickBot="1" x14ac:dyDescent="0.4">
      <c r="A245" s="180"/>
      <c r="B245" s="180"/>
      <c r="C245" s="180"/>
      <c r="D245" s="180"/>
      <c r="E245" s="24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row>
    <row r="246" spans="1:55" ht="15.75" customHeight="1" thickBot="1" x14ac:dyDescent="0.4">
      <c r="A246" s="180"/>
      <c r="B246" s="180"/>
      <c r="C246" s="180"/>
      <c r="D246" s="180"/>
      <c r="E246" s="24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row>
    <row r="247" spans="1:55" ht="15.75" customHeight="1" thickBot="1" x14ac:dyDescent="0.4">
      <c r="A247" s="180"/>
      <c r="B247" s="180"/>
      <c r="C247" s="180"/>
      <c r="D247" s="180"/>
      <c r="E247" s="24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row>
    <row r="248" spans="1:55" ht="15.75" customHeight="1" thickBot="1" x14ac:dyDescent="0.4">
      <c r="A248" s="180"/>
      <c r="B248" s="180"/>
      <c r="C248" s="180"/>
      <c r="D248" s="180"/>
      <c r="E248" s="24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row>
    <row r="249" spans="1:55" ht="15.75" customHeight="1" thickBot="1" x14ac:dyDescent="0.4">
      <c r="A249" s="180"/>
      <c r="B249" s="180"/>
      <c r="C249" s="180"/>
      <c r="D249" s="180"/>
      <c r="E249" s="24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row>
    <row r="250" spans="1:55" ht="15.75" customHeight="1" thickBot="1" x14ac:dyDescent="0.4">
      <c r="A250" s="180"/>
      <c r="B250" s="180"/>
      <c r="C250" s="180"/>
      <c r="D250" s="180"/>
      <c r="E250" s="24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row>
    <row r="251" spans="1:55" ht="15.75" customHeight="1" thickBot="1" x14ac:dyDescent="0.4">
      <c r="A251" s="180"/>
      <c r="B251" s="180"/>
      <c r="C251" s="180"/>
      <c r="D251" s="180"/>
      <c r="E251" s="24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row>
    <row r="252" spans="1:55" ht="15.75" customHeight="1" thickBot="1" x14ac:dyDescent="0.4">
      <c r="A252" s="180"/>
      <c r="B252" s="180"/>
      <c r="C252" s="180"/>
      <c r="D252" s="180"/>
      <c r="E252" s="24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c r="AS252" s="180"/>
      <c r="AT252" s="180"/>
      <c r="AU252" s="180"/>
      <c r="AV252" s="180"/>
      <c r="AW252" s="180"/>
      <c r="AX252" s="180"/>
      <c r="AY252" s="180"/>
      <c r="AZ252" s="180"/>
      <c r="BA252" s="180"/>
      <c r="BB252" s="180"/>
      <c r="BC252" s="180"/>
    </row>
    <row r="253" spans="1:55" ht="15.75" customHeight="1" thickBot="1" x14ac:dyDescent="0.4">
      <c r="A253" s="180"/>
      <c r="B253" s="180"/>
      <c r="C253" s="180"/>
      <c r="D253" s="180"/>
      <c r="E253" s="24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row>
    <row r="254" spans="1:55" ht="15.75" customHeight="1" thickBot="1" x14ac:dyDescent="0.4">
      <c r="A254" s="180"/>
      <c r="B254" s="180"/>
      <c r="C254" s="180"/>
      <c r="D254" s="180"/>
      <c r="E254" s="24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c r="AS254" s="180"/>
      <c r="AT254" s="180"/>
      <c r="AU254" s="180"/>
      <c r="AV254" s="180"/>
      <c r="AW254" s="180"/>
      <c r="AX254" s="180"/>
      <c r="AY254" s="180"/>
      <c r="AZ254" s="180"/>
      <c r="BA254" s="180"/>
      <c r="BB254" s="180"/>
      <c r="BC254" s="180"/>
    </row>
    <row r="255" spans="1:55" ht="15.75" customHeight="1" thickBot="1" x14ac:dyDescent="0.4">
      <c r="A255" s="180"/>
      <c r="B255" s="180"/>
      <c r="C255" s="180"/>
      <c r="D255" s="180"/>
      <c r="E255" s="24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row>
    <row r="256" spans="1:55" ht="15.75" customHeight="1" thickBot="1" x14ac:dyDescent="0.4">
      <c r="A256" s="180"/>
      <c r="B256" s="180"/>
      <c r="C256" s="180"/>
      <c r="D256" s="180"/>
      <c r="E256" s="24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row>
    <row r="257" spans="1:55" ht="15.75" customHeight="1" thickBot="1" x14ac:dyDescent="0.4">
      <c r="A257" s="180"/>
      <c r="B257" s="180"/>
      <c r="C257" s="180"/>
      <c r="D257" s="180"/>
      <c r="E257" s="24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row>
    <row r="258" spans="1:55" ht="15.75" customHeight="1" thickBot="1" x14ac:dyDescent="0.4">
      <c r="A258" s="180"/>
      <c r="B258" s="180"/>
      <c r="C258" s="180"/>
      <c r="D258" s="180"/>
      <c r="E258" s="24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row>
    <row r="259" spans="1:55" ht="15.75" customHeight="1" thickBot="1" x14ac:dyDescent="0.4">
      <c r="A259" s="180"/>
      <c r="B259" s="180"/>
      <c r="C259" s="180"/>
      <c r="D259" s="180"/>
      <c r="E259" s="24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row>
    <row r="260" spans="1:55" ht="15.75" customHeight="1" thickBot="1" x14ac:dyDescent="0.4">
      <c r="A260" s="180"/>
      <c r="B260" s="180"/>
      <c r="C260" s="180"/>
      <c r="D260" s="180"/>
      <c r="E260" s="24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row>
    <row r="261" spans="1:55" ht="15.75" customHeight="1" thickBot="1" x14ac:dyDescent="0.4">
      <c r="A261" s="180"/>
      <c r="B261" s="180"/>
      <c r="C261" s="180"/>
      <c r="D261" s="180"/>
      <c r="E261" s="24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row>
    <row r="262" spans="1:55" ht="15.75" customHeight="1" thickBot="1" x14ac:dyDescent="0.4">
      <c r="A262" s="180"/>
      <c r="B262" s="180"/>
      <c r="C262" s="180"/>
      <c r="D262" s="180"/>
      <c r="E262" s="24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row>
    <row r="263" spans="1:55" ht="15.75" customHeight="1" thickBot="1" x14ac:dyDescent="0.4">
      <c r="A263" s="180"/>
      <c r="B263" s="180"/>
      <c r="C263" s="180"/>
      <c r="D263" s="180"/>
      <c r="E263" s="24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row>
    <row r="264" spans="1:55" ht="15.75" customHeight="1" thickBot="1" x14ac:dyDescent="0.4">
      <c r="A264" s="180"/>
      <c r="B264" s="180"/>
      <c r="C264" s="180"/>
      <c r="D264" s="180"/>
      <c r="E264" s="24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row>
    <row r="265" spans="1:55" ht="15.75" customHeight="1" thickBot="1" x14ac:dyDescent="0.4">
      <c r="A265" s="180"/>
      <c r="B265" s="180"/>
      <c r="C265" s="180"/>
      <c r="D265" s="180"/>
      <c r="E265" s="24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row>
    <row r="266" spans="1:55" ht="15.75" customHeight="1" thickBot="1" x14ac:dyDescent="0.4">
      <c r="A266" s="180"/>
      <c r="B266" s="180"/>
      <c r="C266" s="180"/>
      <c r="D266" s="180"/>
      <c r="E266" s="24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row>
    <row r="267" spans="1:55" ht="15.75" customHeight="1" thickBot="1" x14ac:dyDescent="0.4">
      <c r="A267" s="180"/>
      <c r="B267" s="180"/>
      <c r="C267" s="180"/>
      <c r="D267" s="180"/>
      <c r="E267" s="24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row>
    <row r="268" spans="1:55" ht="15.75" customHeight="1" thickBot="1" x14ac:dyDescent="0.4">
      <c r="A268" s="180"/>
      <c r="B268" s="180"/>
      <c r="C268" s="180"/>
      <c r="D268" s="180"/>
      <c r="E268" s="24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row>
    <row r="269" spans="1:55" ht="15.75" customHeight="1" thickBot="1" x14ac:dyDescent="0.4">
      <c r="A269" s="180"/>
      <c r="B269" s="180"/>
      <c r="C269" s="180"/>
      <c r="D269" s="180"/>
      <c r="E269" s="24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row>
    <row r="270" spans="1:55" ht="15.75" customHeight="1" thickBot="1" x14ac:dyDescent="0.4">
      <c r="A270" s="180"/>
      <c r="B270" s="180"/>
      <c r="C270" s="180"/>
      <c r="D270" s="180"/>
      <c r="E270" s="24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row>
    <row r="271" spans="1:55" ht="15.75" customHeight="1" thickBot="1" x14ac:dyDescent="0.4">
      <c r="A271" s="180"/>
      <c r="B271" s="180"/>
      <c r="C271" s="180"/>
      <c r="D271" s="180"/>
      <c r="E271" s="24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row>
    <row r="272" spans="1:55" ht="15.75" customHeight="1" thickBot="1" x14ac:dyDescent="0.4">
      <c r="A272" s="180"/>
      <c r="B272" s="180"/>
      <c r="C272" s="180"/>
      <c r="D272" s="180"/>
      <c r="E272" s="24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row>
    <row r="273" spans="1:55" ht="15.75" customHeight="1" thickBot="1" x14ac:dyDescent="0.4">
      <c r="A273" s="180"/>
      <c r="B273" s="180"/>
      <c r="C273" s="180"/>
      <c r="D273" s="180"/>
      <c r="E273" s="24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row>
    <row r="274" spans="1:55" ht="15.75" customHeight="1" thickBot="1" x14ac:dyDescent="0.4">
      <c r="A274" s="180"/>
      <c r="B274" s="180"/>
      <c r="C274" s="180"/>
      <c r="D274" s="180"/>
      <c r="E274" s="24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row>
    <row r="275" spans="1:55" ht="15.75" customHeight="1" thickBot="1" x14ac:dyDescent="0.4">
      <c r="A275" s="180"/>
      <c r="B275" s="180"/>
      <c r="C275" s="180"/>
      <c r="D275" s="180"/>
      <c r="E275" s="24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row>
    <row r="276" spans="1:55" ht="15.75" customHeight="1" thickBot="1" x14ac:dyDescent="0.4">
      <c r="A276" s="180"/>
      <c r="B276" s="180"/>
      <c r="C276" s="180"/>
      <c r="D276" s="180"/>
      <c r="E276" s="24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row>
    <row r="277" spans="1:55" ht="15.75" customHeight="1" thickBot="1" x14ac:dyDescent="0.4">
      <c r="A277" s="180"/>
      <c r="B277" s="180"/>
      <c r="C277" s="180"/>
      <c r="D277" s="180"/>
      <c r="E277" s="24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row>
    <row r="278" spans="1:55" ht="15.75" customHeight="1" thickBot="1" x14ac:dyDescent="0.4">
      <c r="A278" s="180"/>
      <c r="B278" s="180"/>
      <c r="C278" s="180"/>
      <c r="D278" s="180"/>
      <c r="E278" s="24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row>
    <row r="279" spans="1:55" ht="15.75" customHeight="1" thickBot="1" x14ac:dyDescent="0.4">
      <c r="A279" s="180"/>
      <c r="B279" s="180"/>
      <c r="C279" s="180"/>
      <c r="D279" s="180"/>
      <c r="E279" s="24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row>
    <row r="280" spans="1:55" ht="15.75" customHeight="1" thickBot="1" x14ac:dyDescent="0.4">
      <c r="A280" s="180"/>
      <c r="B280" s="180"/>
      <c r="C280" s="180"/>
      <c r="D280" s="180"/>
      <c r="E280" s="24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row>
    <row r="281" spans="1:55" ht="15.75" customHeight="1" thickBot="1" x14ac:dyDescent="0.4">
      <c r="A281" s="180"/>
      <c r="B281" s="180"/>
      <c r="C281" s="180"/>
      <c r="D281" s="180"/>
      <c r="E281" s="24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row>
    <row r="282" spans="1:55" ht="15.75" customHeight="1" thickBot="1" x14ac:dyDescent="0.4">
      <c r="A282" s="180"/>
      <c r="B282" s="180"/>
      <c r="C282" s="180"/>
      <c r="D282" s="180"/>
      <c r="E282" s="24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row>
    <row r="283" spans="1:55" ht="15.75" customHeight="1" thickBot="1" x14ac:dyDescent="0.4">
      <c r="A283" s="180"/>
      <c r="B283" s="180"/>
      <c r="C283" s="180"/>
      <c r="D283" s="180"/>
      <c r="E283" s="24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row>
    <row r="284" spans="1:55" ht="15.75" customHeight="1" thickBot="1" x14ac:dyDescent="0.4">
      <c r="A284" s="180"/>
      <c r="B284" s="180"/>
      <c r="C284" s="180"/>
      <c r="D284" s="180"/>
      <c r="E284" s="24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row>
    <row r="285" spans="1:55" ht="15.75" customHeight="1" thickBot="1" x14ac:dyDescent="0.4">
      <c r="A285" s="180"/>
      <c r="B285" s="180"/>
      <c r="C285" s="180"/>
      <c r="D285" s="180"/>
      <c r="E285" s="24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row>
    <row r="286" spans="1:55" ht="15.75" customHeight="1" thickBot="1" x14ac:dyDescent="0.4">
      <c r="A286" s="180"/>
      <c r="B286" s="180"/>
      <c r="C286" s="180"/>
      <c r="D286" s="180"/>
      <c r="E286" s="24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row>
    <row r="287" spans="1:55" ht="15.75" customHeight="1" thickBot="1" x14ac:dyDescent="0.4">
      <c r="A287" s="180"/>
      <c r="B287" s="180"/>
      <c r="C287" s="180"/>
      <c r="D287" s="180"/>
      <c r="E287" s="24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c r="AS287" s="180"/>
      <c r="AT287" s="180"/>
      <c r="AU287" s="180"/>
      <c r="AV287" s="180"/>
      <c r="AW287" s="180"/>
      <c r="AX287" s="180"/>
      <c r="AY287" s="180"/>
      <c r="AZ287" s="180"/>
      <c r="BA287" s="180"/>
      <c r="BB287" s="180"/>
      <c r="BC287" s="180"/>
    </row>
    <row r="288" spans="1:55" ht="15.75" customHeight="1" thickBot="1" x14ac:dyDescent="0.4">
      <c r="A288" s="180"/>
      <c r="B288" s="180"/>
      <c r="C288" s="180"/>
      <c r="D288" s="180"/>
      <c r="E288" s="24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c r="AS288" s="180"/>
      <c r="AT288" s="180"/>
      <c r="AU288" s="180"/>
      <c r="AV288" s="180"/>
      <c r="AW288" s="180"/>
      <c r="AX288" s="180"/>
      <c r="AY288" s="180"/>
      <c r="AZ288" s="180"/>
      <c r="BA288" s="180"/>
      <c r="BB288" s="180"/>
      <c r="BC288" s="180"/>
    </row>
    <row r="289" spans="1:55" ht="15.75" customHeight="1" thickBot="1" x14ac:dyDescent="0.4">
      <c r="A289" s="180"/>
      <c r="B289" s="180"/>
      <c r="C289" s="180"/>
      <c r="D289" s="180"/>
      <c r="E289" s="24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row>
    <row r="290" spans="1:55" ht="15.75" customHeight="1" thickBot="1" x14ac:dyDescent="0.4">
      <c r="A290" s="180"/>
      <c r="B290" s="180"/>
      <c r="C290" s="180"/>
      <c r="D290" s="180"/>
      <c r="E290" s="24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row>
    <row r="291" spans="1:55" ht="15.75" customHeight="1" thickBot="1" x14ac:dyDescent="0.4">
      <c r="A291" s="180"/>
      <c r="B291" s="180"/>
      <c r="C291" s="180"/>
      <c r="D291" s="180"/>
      <c r="E291" s="24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row>
    <row r="292" spans="1:55" ht="15.75" customHeight="1" thickBot="1" x14ac:dyDescent="0.4">
      <c r="A292" s="180"/>
      <c r="B292" s="180"/>
      <c r="C292" s="180"/>
      <c r="D292" s="180"/>
      <c r="E292" s="24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row>
    <row r="293" spans="1:55" ht="15.75" customHeight="1" thickBot="1" x14ac:dyDescent="0.4">
      <c r="A293" s="180"/>
      <c r="B293" s="180"/>
      <c r="C293" s="180"/>
      <c r="D293" s="180"/>
      <c r="E293" s="24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row>
    <row r="294" spans="1:55" ht="15.75" customHeight="1" thickBot="1" x14ac:dyDescent="0.4">
      <c r="A294" s="180"/>
      <c r="B294" s="180"/>
      <c r="C294" s="180"/>
      <c r="D294" s="180"/>
      <c r="E294" s="24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80"/>
      <c r="AR294" s="180"/>
      <c r="AS294" s="180"/>
      <c r="AT294" s="180"/>
      <c r="AU294" s="180"/>
      <c r="AV294" s="180"/>
      <c r="AW294" s="180"/>
      <c r="AX294" s="180"/>
      <c r="AY294" s="180"/>
      <c r="AZ294" s="180"/>
      <c r="BA294" s="180"/>
      <c r="BB294" s="180"/>
      <c r="BC294" s="180"/>
    </row>
    <row r="295" spans="1:55" ht="15.75" customHeight="1" thickBot="1" x14ac:dyDescent="0.4">
      <c r="A295" s="180"/>
      <c r="B295" s="180"/>
      <c r="C295" s="180"/>
      <c r="D295" s="180"/>
      <c r="E295" s="24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80"/>
      <c r="AR295" s="180"/>
      <c r="AS295" s="180"/>
      <c r="AT295" s="180"/>
      <c r="AU295" s="180"/>
      <c r="AV295" s="180"/>
      <c r="AW295" s="180"/>
      <c r="AX295" s="180"/>
      <c r="AY295" s="180"/>
      <c r="AZ295" s="180"/>
      <c r="BA295" s="180"/>
      <c r="BB295" s="180"/>
      <c r="BC295" s="180"/>
    </row>
    <row r="296" spans="1:55" ht="15.75" customHeight="1" thickBot="1" x14ac:dyDescent="0.4">
      <c r="A296" s="180"/>
      <c r="B296" s="180"/>
      <c r="C296" s="180"/>
      <c r="D296" s="180"/>
      <c r="E296" s="24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80"/>
      <c r="AR296" s="180"/>
      <c r="AS296" s="180"/>
      <c r="AT296" s="180"/>
      <c r="AU296" s="180"/>
      <c r="AV296" s="180"/>
      <c r="AW296" s="180"/>
      <c r="AX296" s="180"/>
      <c r="AY296" s="180"/>
      <c r="AZ296" s="180"/>
      <c r="BA296" s="180"/>
      <c r="BB296" s="180"/>
      <c r="BC296" s="180"/>
    </row>
    <row r="297" spans="1:55" ht="15.75" customHeight="1" thickBot="1" x14ac:dyDescent="0.4">
      <c r="A297" s="180"/>
      <c r="B297" s="180"/>
      <c r="C297" s="180"/>
      <c r="D297" s="180"/>
      <c r="E297" s="24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row>
    <row r="298" spans="1:55" ht="15.75" customHeight="1" thickBot="1" x14ac:dyDescent="0.4">
      <c r="A298" s="180"/>
      <c r="B298" s="180"/>
      <c r="C298" s="180"/>
      <c r="D298" s="180"/>
      <c r="E298" s="24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row>
    <row r="299" spans="1:55" ht="15.75" customHeight="1" thickBot="1" x14ac:dyDescent="0.4">
      <c r="A299" s="180"/>
      <c r="B299" s="180"/>
      <c r="C299" s="180"/>
      <c r="D299" s="180"/>
      <c r="E299" s="24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row>
    <row r="300" spans="1:55" ht="15.75" customHeight="1" thickBot="1" x14ac:dyDescent="0.4">
      <c r="A300" s="180"/>
      <c r="B300" s="180"/>
      <c r="C300" s="180"/>
      <c r="D300" s="180"/>
      <c r="E300" s="24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80"/>
      <c r="AR300" s="180"/>
      <c r="AS300" s="180"/>
      <c r="AT300" s="180"/>
      <c r="AU300" s="180"/>
      <c r="AV300" s="180"/>
      <c r="AW300" s="180"/>
      <c r="AX300" s="180"/>
      <c r="AY300" s="180"/>
      <c r="AZ300" s="180"/>
      <c r="BA300" s="180"/>
      <c r="BB300" s="180"/>
      <c r="BC300" s="180"/>
    </row>
    <row r="301" spans="1:55" ht="15.75" customHeight="1" thickBot="1" x14ac:dyDescent="0.4">
      <c r="A301" s="180"/>
      <c r="B301" s="180"/>
      <c r="C301" s="180"/>
      <c r="D301" s="180"/>
      <c r="E301" s="24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row>
    <row r="302" spans="1:55" ht="15.75" customHeight="1" thickBot="1" x14ac:dyDescent="0.4">
      <c r="A302" s="180"/>
      <c r="B302" s="180"/>
      <c r="C302" s="180"/>
      <c r="D302" s="180"/>
      <c r="E302" s="24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row>
    <row r="303" spans="1:55" ht="15.75" customHeight="1" thickBot="1" x14ac:dyDescent="0.4">
      <c r="A303" s="180"/>
      <c r="B303" s="180"/>
      <c r="C303" s="180"/>
      <c r="D303" s="180"/>
      <c r="E303" s="24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row>
    <row r="304" spans="1:55" ht="15.75" customHeight="1" thickBot="1" x14ac:dyDescent="0.4">
      <c r="A304" s="180"/>
      <c r="B304" s="180"/>
      <c r="C304" s="180"/>
      <c r="D304" s="180"/>
      <c r="E304" s="24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row>
    <row r="305" spans="1:55" ht="15.75" customHeight="1" thickBot="1" x14ac:dyDescent="0.4">
      <c r="A305" s="180"/>
      <c r="B305" s="180"/>
      <c r="C305" s="180"/>
      <c r="D305" s="180"/>
      <c r="E305" s="24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row>
    <row r="306" spans="1:55" ht="15.75" customHeight="1" thickBot="1" x14ac:dyDescent="0.4">
      <c r="A306" s="180"/>
      <c r="B306" s="180"/>
      <c r="C306" s="180"/>
      <c r="D306" s="180"/>
      <c r="E306" s="24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row>
    <row r="307" spans="1:55" ht="15.75" customHeight="1" thickBot="1" x14ac:dyDescent="0.4">
      <c r="A307" s="180"/>
      <c r="B307" s="180"/>
      <c r="C307" s="180"/>
      <c r="D307" s="180"/>
      <c r="E307" s="24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row>
    <row r="308" spans="1:55" ht="15.75" customHeight="1" thickBot="1" x14ac:dyDescent="0.4">
      <c r="A308" s="180"/>
      <c r="B308" s="180"/>
      <c r="C308" s="180"/>
      <c r="D308" s="180"/>
      <c r="E308" s="24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row>
    <row r="309" spans="1:55" ht="15.75" customHeight="1" thickBot="1" x14ac:dyDescent="0.4">
      <c r="A309" s="180"/>
      <c r="B309" s="180"/>
      <c r="C309" s="180"/>
      <c r="D309" s="180"/>
      <c r="E309" s="24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row>
    <row r="310" spans="1:55" ht="15.75" customHeight="1" thickBot="1" x14ac:dyDescent="0.4">
      <c r="A310" s="180"/>
      <c r="B310" s="180"/>
      <c r="C310" s="180"/>
      <c r="D310" s="180"/>
      <c r="E310" s="24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row>
    <row r="311" spans="1:55" ht="15.75" customHeight="1" thickBot="1" x14ac:dyDescent="0.4">
      <c r="A311" s="180"/>
      <c r="B311" s="180"/>
      <c r="C311" s="180"/>
      <c r="D311" s="180"/>
      <c r="E311" s="24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row>
    <row r="312" spans="1:55" ht="15.75" customHeight="1" thickBot="1" x14ac:dyDescent="0.4">
      <c r="A312" s="180"/>
      <c r="B312" s="180"/>
      <c r="C312" s="180"/>
      <c r="D312" s="180"/>
      <c r="E312" s="24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80"/>
      <c r="AR312" s="180"/>
      <c r="AS312" s="180"/>
      <c r="AT312" s="180"/>
      <c r="AU312" s="180"/>
      <c r="AV312" s="180"/>
      <c r="AW312" s="180"/>
      <c r="AX312" s="180"/>
      <c r="AY312" s="180"/>
      <c r="AZ312" s="180"/>
      <c r="BA312" s="180"/>
      <c r="BB312" s="180"/>
      <c r="BC312" s="180"/>
    </row>
    <row r="313" spans="1:55" ht="15.75" customHeight="1" thickBot="1" x14ac:dyDescent="0.4">
      <c r="A313" s="180"/>
      <c r="B313" s="180"/>
      <c r="C313" s="180"/>
      <c r="D313" s="180"/>
      <c r="E313" s="24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80"/>
      <c r="AR313" s="180"/>
      <c r="AS313" s="180"/>
      <c r="AT313" s="180"/>
      <c r="AU313" s="180"/>
      <c r="AV313" s="180"/>
      <c r="AW313" s="180"/>
      <c r="AX313" s="180"/>
      <c r="AY313" s="180"/>
      <c r="AZ313" s="180"/>
      <c r="BA313" s="180"/>
      <c r="BB313" s="180"/>
      <c r="BC313" s="180"/>
    </row>
    <row r="314" spans="1:55" ht="15.75" customHeight="1" thickBot="1" x14ac:dyDescent="0.4">
      <c r="A314" s="180"/>
      <c r="B314" s="180"/>
      <c r="C314" s="180"/>
      <c r="D314" s="180"/>
      <c r="E314" s="24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row>
    <row r="315" spans="1:55" ht="15.75" customHeight="1" thickBot="1" x14ac:dyDescent="0.4">
      <c r="A315" s="180"/>
      <c r="B315" s="180"/>
      <c r="C315" s="180"/>
      <c r="D315" s="180"/>
      <c r="E315" s="24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row>
    <row r="316" spans="1:55" ht="15.75" customHeight="1" thickBot="1" x14ac:dyDescent="0.4">
      <c r="A316" s="180"/>
      <c r="B316" s="180"/>
      <c r="C316" s="180"/>
      <c r="D316" s="180"/>
      <c r="E316" s="24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row>
    <row r="317" spans="1:55" ht="15.75" customHeight="1" thickBot="1" x14ac:dyDescent="0.4">
      <c r="A317" s="180"/>
      <c r="B317" s="180"/>
      <c r="C317" s="180"/>
      <c r="D317" s="180"/>
      <c r="E317" s="24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c r="AS317" s="180"/>
      <c r="AT317" s="180"/>
      <c r="AU317" s="180"/>
      <c r="AV317" s="180"/>
      <c r="AW317" s="180"/>
      <c r="AX317" s="180"/>
      <c r="AY317" s="180"/>
      <c r="AZ317" s="180"/>
      <c r="BA317" s="180"/>
      <c r="BB317" s="180"/>
      <c r="BC317" s="180"/>
    </row>
    <row r="318" spans="1:55" ht="15.75" customHeight="1" thickBot="1" x14ac:dyDescent="0.4">
      <c r="A318" s="180"/>
      <c r="B318" s="180"/>
      <c r="C318" s="180"/>
      <c r="D318" s="180"/>
      <c r="E318" s="24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c r="AS318" s="180"/>
      <c r="AT318" s="180"/>
      <c r="AU318" s="180"/>
      <c r="AV318" s="180"/>
      <c r="AW318" s="180"/>
      <c r="AX318" s="180"/>
      <c r="AY318" s="180"/>
      <c r="AZ318" s="180"/>
      <c r="BA318" s="180"/>
      <c r="BB318" s="180"/>
      <c r="BC318" s="180"/>
    </row>
    <row r="319" spans="1:55" ht="15.75" customHeight="1" thickBot="1" x14ac:dyDescent="0.4">
      <c r="A319" s="180"/>
      <c r="B319" s="180"/>
      <c r="C319" s="180"/>
      <c r="D319" s="180"/>
      <c r="E319" s="24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row>
    <row r="320" spans="1:55" ht="15.75" customHeight="1" thickBot="1" x14ac:dyDescent="0.4">
      <c r="A320" s="180"/>
      <c r="B320" s="180"/>
      <c r="C320" s="180"/>
      <c r="D320" s="180"/>
      <c r="E320" s="24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row>
    <row r="321" spans="1:55" ht="15.75" customHeight="1" thickBot="1" x14ac:dyDescent="0.4">
      <c r="A321" s="180"/>
      <c r="B321" s="180"/>
      <c r="C321" s="180"/>
      <c r="D321" s="180"/>
      <c r="E321" s="24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c r="AS321" s="180"/>
      <c r="AT321" s="180"/>
      <c r="AU321" s="180"/>
      <c r="AV321" s="180"/>
      <c r="AW321" s="180"/>
      <c r="AX321" s="180"/>
      <c r="AY321" s="180"/>
      <c r="AZ321" s="180"/>
      <c r="BA321" s="180"/>
      <c r="BB321" s="180"/>
      <c r="BC321" s="180"/>
    </row>
    <row r="322" spans="1:55" ht="15.75" customHeight="1" thickBot="1" x14ac:dyDescent="0.4">
      <c r="A322" s="180"/>
      <c r="B322" s="180"/>
      <c r="C322" s="180"/>
      <c r="D322" s="180"/>
      <c r="E322" s="24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c r="AS322" s="180"/>
      <c r="AT322" s="180"/>
      <c r="AU322" s="180"/>
      <c r="AV322" s="180"/>
      <c r="AW322" s="180"/>
      <c r="AX322" s="180"/>
      <c r="AY322" s="180"/>
      <c r="AZ322" s="180"/>
      <c r="BA322" s="180"/>
      <c r="BB322" s="180"/>
      <c r="BC322" s="180"/>
    </row>
    <row r="323" spans="1:55" ht="15.75" customHeight="1" thickBot="1" x14ac:dyDescent="0.4">
      <c r="A323" s="180"/>
      <c r="B323" s="180"/>
      <c r="C323" s="180"/>
      <c r="D323" s="180"/>
      <c r="E323" s="24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c r="AS323" s="180"/>
      <c r="AT323" s="180"/>
      <c r="AU323" s="180"/>
      <c r="AV323" s="180"/>
      <c r="AW323" s="180"/>
      <c r="AX323" s="180"/>
      <c r="AY323" s="180"/>
      <c r="AZ323" s="180"/>
      <c r="BA323" s="180"/>
      <c r="BB323" s="180"/>
      <c r="BC323" s="180"/>
    </row>
    <row r="324" spans="1:55" ht="15.75" customHeight="1" thickBot="1" x14ac:dyDescent="0.4">
      <c r="A324" s="180"/>
      <c r="B324" s="180"/>
      <c r="C324" s="180"/>
      <c r="D324" s="180"/>
      <c r="E324" s="24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row>
    <row r="325" spans="1:55" ht="15.75" customHeight="1" thickBot="1" x14ac:dyDescent="0.4">
      <c r="A325" s="180"/>
      <c r="B325" s="180"/>
      <c r="C325" s="180"/>
      <c r="D325" s="180"/>
      <c r="E325" s="24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c r="AS325" s="180"/>
      <c r="AT325" s="180"/>
      <c r="AU325" s="180"/>
      <c r="AV325" s="180"/>
      <c r="AW325" s="180"/>
      <c r="AX325" s="180"/>
      <c r="AY325" s="180"/>
      <c r="AZ325" s="180"/>
      <c r="BA325" s="180"/>
      <c r="BB325" s="180"/>
      <c r="BC325" s="180"/>
    </row>
    <row r="326" spans="1:55" ht="15.75" customHeight="1" thickBot="1" x14ac:dyDescent="0.4">
      <c r="A326" s="180"/>
      <c r="B326" s="180"/>
      <c r="C326" s="180"/>
      <c r="D326" s="180"/>
      <c r="E326" s="24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c r="AS326" s="180"/>
      <c r="AT326" s="180"/>
      <c r="AU326" s="180"/>
      <c r="AV326" s="180"/>
      <c r="AW326" s="180"/>
      <c r="AX326" s="180"/>
      <c r="AY326" s="180"/>
      <c r="AZ326" s="180"/>
      <c r="BA326" s="180"/>
      <c r="BB326" s="180"/>
      <c r="BC326" s="180"/>
    </row>
    <row r="327" spans="1:55" ht="15.75" customHeight="1" thickBot="1" x14ac:dyDescent="0.4">
      <c r="A327" s="180"/>
      <c r="B327" s="180"/>
      <c r="C327" s="180"/>
      <c r="D327" s="180"/>
      <c r="E327" s="24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0"/>
    </row>
    <row r="328" spans="1:55" ht="15.75" customHeight="1" thickBot="1" x14ac:dyDescent="0.4">
      <c r="A328" s="180"/>
      <c r="B328" s="180"/>
      <c r="C328" s="180"/>
      <c r="D328" s="180"/>
      <c r="E328" s="24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c r="AS328" s="180"/>
      <c r="AT328" s="180"/>
      <c r="AU328" s="180"/>
      <c r="AV328" s="180"/>
      <c r="AW328" s="180"/>
      <c r="AX328" s="180"/>
      <c r="AY328" s="180"/>
      <c r="AZ328" s="180"/>
      <c r="BA328" s="180"/>
      <c r="BB328" s="180"/>
      <c r="BC328" s="180"/>
    </row>
    <row r="329" spans="1:55" ht="15.75" customHeight="1" thickBot="1" x14ac:dyDescent="0.4">
      <c r="A329" s="180"/>
      <c r="B329" s="180"/>
      <c r="C329" s="180"/>
      <c r="D329" s="180"/>
      <c r="E329" s="24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0"/>
      <c r="BC329" s="180"/>
    </row>
    <row r="330" spans="1:55" ht="15.75" customHeight="1" thickBot="1" x14ac:dyDescent="0.4">
      <c r="A330" s="180"/>
      <c r="B330" s="180"/>
      <c r="C330" s="180"/>
      <c r="D330" s="180"/>
      <c r="E330" s="24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row>
    <row r="331" spans="1:55" ht="15.75" customHeight="1" thickBot="1" x14ac:dyDescent="0.4">
      <c r="A331" s="180"/>
      <c r="B331" s="180"/>
      <c r="C331" s="180"/>
      <c r="D331" s="180"/>
      <c r="E331" s="24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row>
    <row r="332" spans="1:55" ht="15.75" customHeight="1" thickBot="1" x14ac:dyDescent="0.4">
      <c r="A332" s="180"/>
      <c r="B332" s="180"/>
      <c r="C332" s="180"/>
      <c r="D332" s="180"/>
      <c r="E332" s="24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row>
    <row r="333" spans="1:55" ht="15.75" customHeight="1" thickBot="1" x14ac:dyDescent="0.4">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row>
    <row r="334" spans="1:55" ht="15.75" customHeight="1" thickBot="1" x14ac:dyDescent="0.4">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row>
    <row r="335" spans="1:55" ht="15.75" customHeight="1" thickBot="1" x14ac:dyDescent="0.4">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row>
    <row r="336" spans="1:55" ht="15.75" customHeight="1" thickBot="1" x14ac:dyDescent="0.4">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row>
    <row r="337" spans="35:55" ht="15.75" customHeight="1" thickBot="1" x14ac:dyDescent="0.4">
      <c r="AI337" s="180"/>
      <c r="AJ337" s="180"/>
      <c r="AK337" s="180"/>
      <c r="AL337" s="180"/>
      <c r="AM337" s="180"/>
      <c r="AN337" s="180"/>
      <c r="AO337" s="180"/>
      <c r="AP337" s="180"/>
      <c r="AQ337" s="180"/>
      <c r="AR337" s="180"/>
      <c r="AS337" s="180"/>
      <c r="AT337" s="180"/>
      <c r="AU337" s="180"/>
      <c r="AV337" s="180"/>
      <c r="AW337" s="180"/>
      <c r="AX337" s="180"/>
      <c r="AY337" s="180"/>
      <c r="AZ337" s="180"/>
      <c r="BA337" s="180"/>
      <c r="BB337" s="180"/>
      <c r="BC337" s="180"/>
    </row>
    <row r="338" spans="35:55" ht="15.75" customHeight="1" thickBot="1" x14ac:dyDescent="0.4">
      <c r="AI338" s="180"/>
      <c r="AJ338" s="180"/>
      <c r="AK338" s="180"/>
      <c r="AL338" s="180"/>
      <c r="AM338" s="180"/>
      <c r="AN338" s="180"/>
      <c r="AO338" s="180"/>
      <c r="AP338" s="180"/>
      <c r="AQ338" s="180"/>
      <c r="AR338" s="180"/>
      <c r="AS338" s="180"/>
      <c r="AT338" s="180"/>
      <c r="AU338" s="180"/>
      <c r="AV338" s="180"/>
      <c r="AW338" s="180"/>
      <c r="AX338" s="180"/>
      <c r="AY338" s="180"/>
      <c r="AZ338" s="180"/>
      <c r="BA338" s="180"/>
      <c r="BB338" s="180"/>
      <c r="BC338" s="180"/>
    </row>
    <row r="339" spans="35:55" ht="15.75" customHeight="1" thickBot="1" x14ac:dyDescent="0.4">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row>
    <row r="340" spans="35:55" ht="15.75" customHeight="1" thickBot="1" x14ac:dyDescent="0.4">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row>
    <row r="341" spans="35:55" ht="15.75" customHeight="1" thickBot="1" x14ac:dyDescent="0.4">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row>
    <row r="342" spans="35:55" ht="15.75" customHeight="1" thickBot="1" x14ac:dyDescent="0.4">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row>
    <row r="343" spans="35:55" ht="15.75" customHeight="1" thickBot="1" x14ac:dyDescent="0.4">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row>
    <row r="344" spans="35:55" ht="15.75" customHeight="1" thickBot="1" x14ac:dyDescent="0.4">
      <c r="AI344" s="180"/>
      <c r="AJ344" s="180"/>
      <c r="AK344" s="180"/>
      <c r="AL344" s="180"/>
      <c r="AM344" s="180"/>
      <c r="AN344" s="180"/>
      <c r="AO344" s="180"/>
      <c r="AP344" s="180"/>
      <c r="AQ344" s="180"/>
      <c r="AR344" s="180"/>
      <c r="AS344" s="180"/>
      <c r="AT344" s="180"/>
      <c r="AU344" s="180"/>
      <c r="AV344" s="180"/>
      <c r="AW344" s="180"/>
      <c r="AX344" s="180"/>
      <c r="AY344" s="180"/>
      <c r="AZ344" s="180"/>
      <c r="BA344" s="180"/>
      <c r="BB344" s="180"/>
      <c r="BC344" s="180"/>
    </row>
    <row r="345" spans="35:55" ht="15.75" customHeight="1" thickBot="1" x14ac:dyDescent="0.4">
      <c r="AI345" s="180"/>
      <c r="AJ345" s="180"/>
      <c r="AK345" s="180"/>
      <c r="AL345" s="180"/>
      <c r="AM345" s="180"/>
      <c r="AN345" s="180"/>
      <c r="AO345" s="180"/>
      <c r="AP345" s="180"/>
      <c r="AQ345" s="180"/>
      <c r="AR345" s="180"/>
      <c r="AS345" s="180"/>
      <c r="AT345" s="180"/>
      <c r="AU345" s="180"/>
      <c r="AV345" s="180"/>
      <c r="AW345" s="180"/>
      <c r="AX345" s="180"/>
      <c r="AY345" s="180"/>
      <c r="AZ345" s="180"/>
      <c r="BA345" s="180"/>
      <c r="BB345" s="180"/>
      <c r="BC345" s="180"/>
    </row>
    <row r="346" spans="35:55" ht="15.75" customHeight="1" thickBot="1" x14ac:dyDescent="0.4">
      <c r="AI346" s="180"/>
      <c r="AJ346" s="180"/>
      <c r="AK346" s="180"/>
      <c r="AL346" s="180"/>
      <c r="AM346" s="180"/>
      <c r="AN346" s="180"/>
      <c r="AO346" s="180"/>
      <c r="AP346" s="180"/>
      <c r="AQ346" s="180"/>
      <c r="AR346" s="180"/>
      <c r="AS346" s="180"/>
      <c r="AT346" s="180"/>
      <c r="AU346" s="180"/>
      <c r="AV346" s="180"/>
      <c r="AW346" s="180"/>
      <c r="AX346" s="180"/>
      <c r="AY346" s="180"/>
      <c r="AZ346" s="180"/>
      <c r="BA346" s="180"/>
      <c r="BB346" s="180"/>
      <c r="BC346" s="180"/>
    </row>
    <row r="347" spans="35:55" ht="15.75" customHeight="1" thickBot="1" x14ac:dyDescent="0.4">
      <c r="AI347" s="180"/>
      <c r="AJ347" s="180"/>
      <c r="AK347" s="180"/>
      <c r="AL347" s="180"/>
      <c r="AM347" s="180"/>
      <c r="AN347" s="180"/>
      <c r="AO347" s="180"/>
      <c r="AP347" s="180"/>
      <c r="AQ347" s="180"/>
      <c r="AR347" s="180"/>
      <c r="AS347" s="180"/>
      <c r="AT347" s="180"/>
      <c r="AU347" s="180"/>
      <c r="AV347" s="180"/>
      <c r="AW347" s="180"/>
      <c r="AX347" s="180"/>
      <c r="AY347" s="180"/>
      <c r="AZ347" s="180"/>
      <c r="BA347" s="180"/>
      <c r="BB347" s="180"/>
      <c r="BC347" s="180"/>
    </row>
    <row r="348" spans="35:55" ht="15.75" customHeight="1" thickBot="1" x14ac:dyDescent="0.4">
      <c r="AI348" s="180"/>
      <c r="AJ348" s="180"/>
      <c r="AK348" s="180"/>
      <c r="AL348" s="180"/>
      <c r="AM348" s="180"/>
      <c r="AN348" s="180"/>
      <c r="AO348" s="180"/>
      <c r="AP348" s="180"/>
      <c r="AQ348" s="180"/>
      <c r="AR348" s="180"/>
      <c r="AS348" s="180"/>
      <c r="AT348" s="180"/>
      <c r="AU348" s="180"/>
      <c r="AV348" s="180"/>
      <c r="AW348" s="180"/>
      <c r="AX348" s="180"/>
      <c r="AY348" s="180"/>
      <c r="AZ348" s="180"/>
      <c r="BA348" s="180"/>
      <c r="BB348" s="180"/>
      <c r="BC348" s="180"/>
    </row>
    <row r="349" spans="35:55" ht="15.75" customHeight="1" thickBot="1" x14ac:dyDescent="0.4">
      <c r="AI349" s="180"/>
      <c r="AJ349" s="180"/>
      <c r="AK349" s="180"/>
      <c r="AL349" s="180"/>
      <c r="AM349" s="180"/>
      <c r="AN349" s="180"/>
      <c r="AO349" s="180"/>
      <c r="AP349" s="180"/>
      <c r="AQ349" s="180"/>
      <c r="AR349" s="180"/>
      <c r="AS349" s="180"/>
      <c r="AT349" s="180"/>
      <c r="AU349" s="180"/>
      <c r="AV349" s="180"/>
      <c r="AW349" s="180"/>
      <c r="AX349" s="180"/>
      <c r="AY349" s="180"/>
      <c r="AZ349" s="180"/>
      <c r="BA349" s="180"/>
      <c r="BB349" s="180"/>
      <c r="BC349" s="180"/>
    </row>
    <row r="350" spans="35:55" ht="15.75" customHeight="1" thickBot="1" x14ac:dyDescent="0.4">
      <c r="AI350" s="180"/>
      <c r="AJ350" s="180"/>
      <c r="AK350" s="180"/>
      <c r="AL350" s="180"/>
      <c r="AM350" s="180"/>
      <c r="AN350" s="180"/>
      <c r="AO350" s="180"/>
      <c r="AP350" s="180"/>
      <c r="AQ350" s="180"/>
      <c r="AR350" s="180"/>
      <c r="AS350" s="180"/>
      <c r="AT350" s="180"/>
      <c r="AU350" s="180"/>
      <c r="AV350" s="180"/>
      <c r="AW350" s="180"/>
      <c r="AX350" s="180"/>
      <c r="AY350" s="180"/>
      <c r="AZ350" s="180"/>
      <c r="BA350" s="180"/>
      <c r="BB350" s="180"/>
      <c r="BC350" s="180"/>
    </row>
    <row r="351" spans="35:55" ht="15.75" customHeight="1" thickBot="1" x14ac:dyDescent="0.4">
      <c r="AI351" s="180"/>
      <c r="AJ351" s="180"/>
      <c r="AK351" s="180"/>
      <c r="AL351" s="180"/>
      <c r="AM351" s="180"/>
      <c r="AN351" s="180"/>
      <c r="AO351" s="180"/>
      <c r="AP351" s="180"/>
      <c r="AQ351" s="180"/>
      <c r="AR351" s="180"/>
      <c r="AS351" s="180"/>
      <c r="AT351" s="180"/>
      <c r="AU351" s="180"/>
      <c r="AV351" s="180"/>
      <c r="AW351" s="180"/>
      <c r="AX351" s="180"/>
      <c r="AY351" s="180"/>
      <c r="AZ351" s="180"/>
      <c r="BA351" s="180"/>
      <c r="BB351" s="180"/>
      <c r="BC351" s="180"/>
    </row>
    <row r="352" spans="35:55" ht="15.75" customHeight="1" thickBot="1" x14ac:dyDescent="0.4">
      <c r="AI352" s="180"/>
      <c r="AJ352" s="180"/>
      <c r="AK352" s="180"/>
      <c r="AL352" s="180"/>
      <c r="AM352" s="180"/>
      <c r="AN352" s="180"/>
      <c r="AO352" s="180"/>
      <c r="AP352" s="180"/>
      <c r="AQ352" s="180"/>
      <c r="AR352" s="180"/>
      <c r="AS352" s="180"/>
      <c r="AT352" s="180"/>
      <c r="AU352" s="180"/>
      <c r="AV352" s="180"/>
      <c r="AW352" s="180"/>
      <c r="AX352" s="180"/>
      <c r="AY352" s="180"/>
      <c r="AZ352" s="180"/>
      <c r="BA352" s="180"/>
      <c r="BB352" s="180"/>
      <c r="BC352" s="180"/>
    </row>
    <row r="353" spans="35:55" ht="15.75" customHeight="1" thickBot="1" x14ac:dyDescent="0.4">
      <c r="AI353" s="180"/>
      <c r="AJ353" s="180"/>
      <c r="AK353" s="180"/>
      <c r="AL353" s="180"/>
      <c r="AM353" s="180"/>
      <c r="AN353" s="180"/>
      <c r="AO353" s="180"/>
      <c r="AP353" s="180"/>
      <c r="AQ353" s="180"/>
      <c r="AR353" s="180"/>
      <c r="AS353" s="180"/>
      <c r="AT353" s="180"/>
      <c r="AU353" s="180"/>
      <c r="AV353" s="180"/>
      <c r="AW353" s="180"/>
      <c r="AX353" s="180"/>
      <c r="AY353" s="180"/>
      <c r="AZ353" s="180"/>
      <c r="BA353" s="180"/>
      <c r="BB353" s="180"/>
      <c r="BC353" s="180"/>
    </row>
    <row r="354" spans="35:55" ht="15.75" customHeight="1" thickBot="1" x14ac:dyDescent="0.4">
      <c r="AI354" s="180"/>
      <c r="AJ354" s="180"/>
      <c r="AK354" s="180"/>
      <c r="AL354" s="180"/>
      <c r="AM354" s="180"/>
      <c r="AN354" s="180"/>
      <c r="AO354" s="180"/>
      <c r="AP354" s="180"/>
      <c r="AQ354" s="180"/>
      <c r="AR354" s="180"/>
      <c r="AS354" s="180"/>
      <c r="AT354" s="180"/>
      <c r="AU354" s="180"/>
      <c r="AV354" s="180"/>
      <c r="AW354" s="180"/>
      <c r="AX354" s="180"/>
      <c r="AY354" s="180"/>
      <c r="AZ354" s="180"/>
      <c r="BA354" s="180"/>
      <c r="BB354" s="180"/>
      <c r="BC354" s="180"/>
    </row>
    <row r="355" spans="35:55" ht="15.75" customHeight="1" thickBot="1" x14ac:dyDescent="0.4">
      <c r="AI355" s="180"/>
      <c r="AJ355" s="180"/>
      <c r="AK355" s="180"/>
      <c r="AL355" s="180"/>
      <c r="AM355" s="180"/>
      <c r="AN355" s="180"/>
      <c r="AO355" s="180"/>
      <c r="AP355" s="180"/>
      <c r="AQ355" s="180"/>
      <c r="AR355" s="180"/>
      <c r="AS355" s="180"/>
      <c r="AT355" s="180"/>
      <c r="AU355" s="180"/>
      <c r="AV355" s="180"/>
      <c r="AW355" s="180"/>
      <c r="AX355" s="180"/>
      <c r="AY355" s="180"/>
      <c r="AZ355" s="180"/>
      <c r="BA355" s="180"/>
      <c r="BB355" s="180"/>
      <c r="BC355" s="180"/>
    </row>
    <row r="356" spans="35:55" ht="15.75" customHeight="1" thickBot="1" x14ac:dyDescent="0.4">
      <c r="AI356" s="180"/>
      <c r="AJ356" s="180"/>
      <c r="AK356" s="180"/>
      <c r="AL356" s="180"/>
      <c r="AM356" s="180"/>
      <c r="AN356" s="180"/>
      <c r="AO356" s="180"/>
      <c r="AP356" s="180"/>
      <c r="AQ356" s="180"/>
      <c r="AR356" s="180"/>
      <c r="AS356" s="180"/>
      <c r="AT356" s="180"/>
      <c r="AU356" s="180"/>
      <c r="AV356" s="180"/>
      <c r="AW356" s="180"/>
      <c r="AX356" s="180"/>
      <c r="AY356" s="180"/>
      <c r="AZ356" s="180"/>
      <c r="BA356" s="180"/>
      <c r="BB356" s="180"/>
      <c r="BC356" s="180"/>
    </row>
    <row r="357" spans="35:55" ht="15.75" customHeight="1" thickBot="1" x14ac:dyDescent="0.4">
      <c r="AI357" s="180"/>
      <c r="AJ357" s="180"/>
      <c r="AK357" s="180"/>
      <c r="AL357" s="180"/>
      <c r="AM357" s="180"/>
      <c r="AN357" s="180"/>
      <c r="AO357" s="180"/>
      <c r="AP357" s="180"/>
      <c r="AQ357" s="180"/>
      <c r="AR357" s="180"/>
      <c r="AS357" s="180"/>
      <c r="AT357" s="180"/>
      <c r="AU357" s="180"/>
      <c r="AV357" s="180"/>
      <c r="AW357" s="180"/>
      <c r="AX357" s="180"/>
      <c r="AY357" s="180"/>
      <c r="AZ357" s="180"/>
      <c r="BA357" s="180"/>
      <c r="BB357" s="180"/>
      <c r="BC357" s="180"/>
    </row>
    <row r="358" spans="35:55" ht="15.75" customHeight="1" thickBot="1" x14ac:dyDescent="0.4">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row>
    <row r="359" spans="35:55" ht="15.75" customHeight="1" thickBot="1" x14ac:dyDescent="0.4">
      <c r="AI359" s="180"/>
      <c r="AJ359" s="180"/>
      <c r="AK359" s="180"/>
      <c r="AL359" s="180"/>
      <c r="AM359" s="180"/>
      <c r="AN359" s="180"/>
      <c r="AO359" s="180"/>
      <c r="AP359" s="180"/>
      <c r="AQ359" s="180"/>
      <c r="AR359" s="180"/>
      <c r="AS359" s="180"/>
      <c r="AT359" s="180"/>
      <c r="AU359" s="180"/>
      <c r="AV359" s="180"/>
      <c r="AW359" s="180"/>
      <c r="AX359" s="180"/>
      <c r="AY359" s="180"/>
      <c r="AZ359" s="180"/>
      <c r="BA359" s="180"/>
      <c r="BB359" s="180"/>
      <c r="BC359" s="180"/>
    </row>
    <row r="360" spans="35:55" ht="15.75" customHeight="1" thickBot="1" x14ac:dyDescent="0.4">
      <c r="AI360" s="180"/>
      <c r="AJ360" s="180"/>
      <c r="AK360" s="180"/>
      <c r="AL360" s="180"/>
      <c r="AM360" s="180"/>
      <c r="AN360" s="180"/>
      <c r="AO360" s="180"/>
      <c r="AP360" s="180"/>
      <c r="AQ360" s="180"/>
      <c r="AR360" s="180"/>
      <c r="AS360" s="180"/>
      <c r="AT360" s="180"/>
      <c r="AU360" s="180"/>
      <c r="AV360" s="180"/>
      <c r="AW360" s="180"/>
      <c r="AX360" s="180"/>
      <c r="AY360" s="180"/>
      <c r="AZ360" s="180"/>
      <c r="BA360" s="180"/>
      <c r="BB360" s="180"/>
      <c r="BC360" s="180"/>
    </row>
    <row r="361" spans="35:55" ht="15.75" customHeight="1" thickBot="1" x14ac:dyDescent="0.4">
      <c r="AI361" s="180"/>
      <c r="AJ361" s="180"/>
      <c r="AK361" s="180"/>
      <c r="AL361" s="180"/>
      <c r="AM361" s="180"/>
      <c r="AN361" s="180"/>
      <c r="AO361" s="180"/>
      <c r="AP361" s="180"/>
      <c r="AQ361" s="180"/>
      <c r="AR361" s="180"/>
      <c r="AS361" s="180"/>
      <c r="AT361" s="180"/>
      <c r="AU361" s="180"/>
      <c r="AV361" s="180"/>
      <c r="AW361" s="180"/>
      <c r="AX361" s="180"/>
      <c r="AY361" s="180"/>
      <c r="AZ361" s="180"/>
      <c r="BA361" s="180"/>
      <c r="BB361" s="180"/>
      <c r="BC361" s="180"/>
    </row>
    <row r="362" spans="35:55" ht="15.75" customHeight="1" thickBot="1" x14ac:dyDescent="0.4">
      <c r="AI362" s="180"/>
      <c r="AJ362" s="180"/>
      <c r="AK362" s="180"/>
      <c r="AL362" s="180"/>
      <c r="AM362" s="180"/>
      <c r="AN362" s="180"/>
      <c r="AO362" s="180"/>
      <c r="AP362" s="180"/>
      <c r="AQ362" s="180"/>
      <c r="AR362" s="180"/>
      <c r="AS362" s="180"/>
      <c r="AT362" s="180"/>
      <c r="AU362" s="180"/>
      <c r="AV362" s="180"/>
      <c r="AW362" s="180"/>
      <c r="AX362" s="180"/>
      <c r="AY362" s="180"/>
      <c r="AZ362" s="180"/>
      <c r="BA362" s="180"/>
      <c r="BB362" s="180"/>
      <c r="BC362" s="180"/>
    </row>
    <row r="363" spans="35:55" ht="15.75" customHeight="1" thickBot="1" x14ac:dyDescent="0.4">
      <c r="AI363" s="180"/>
      <c r="AJ363" s="180"/>
      <c r="AK363" s="180"/>
      <c r="AL363" s="180"/>
      <c r="AM363" s="180"/>
      <c r="AN363" s="180"/>
      <c r="AO363" s="180"/>
      <c r="AP363" s="180"/>
      <c r="AQ363" s="180"/>
      <c r="AR363" s="180"/>
      <c r="AS363" s="180"/>
      <c r="AT363" s="180"/>
      <c r="AU363" s="180"/>
      <c r="AV363" s="180"/>
      <c r="AW363" s="180"/>
      <c r="AX363" s="180"/>
      <c r="AY363" s="180"/>
      <c r="AZ363" s="180"/>
      <c r="BA363" s="180"/>
      <c r="BB363" s="180"/>
      <c r="BC363" s="180"/>
    </row>
    <row r="364" spans="35:55" ht="15.75" customHeight="1" thickBot="1" x14ac:dyDescent="0.4">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row>
    <row r="365" spans="35:55" ht="15.75" customHeight="1" thickBot="1" x14ac:dyDescent="0.4">
      <c r="AI365" s="180"/>
      <c r="AJ365" s="180"/>
      <c r="AK365" s="180"/>
      <c r="AL365" s="180"/>
      <c r="AM365" s="180"/>
      <c r="AN365" s="180"/>
      <c r="AO365" s="180"/>
      <c r="AP365" s="180"/>
      <c r="AQ365" s="180"/>
      <c r="AR365" s="180"/>
      <c r="AS365" s="180"/>
      <c r="AT365" s="180"/>
      <c r="AU365" s="180"/>
      <c r="AV365" s="180"/>
      <c r="AW365" s="180"/>
      <c r="AX365" s="180"/>
      <c r="AY365" s="180"/>
      <c r="AZ365" s="180"/>
      <c r="BA365" s="180"/>
      <c r="BB365" s="180"/>
      <c r="BC365" s="180"/>
    </row>
    <row r="366" spans="35:55" ht="15.75" customHeight="1" thickBot="1" x14ac:dyDescent="0.4">
      <c r="AI366" s="180"/>
      <c r="AJ366" s="180"/>
      <c r="AK366" s="180"/>
      <c r="AL366" s="180"/>
      <c r="AM366" s="180"/>
      <c r="AN366" s="180"/>
      <c r="AO366" s="180"/>
      <c r="AP366" s="180"/>
      <c r="AQ366" s="180"/>
      <c r="AR366" s="180"/>
      <c r="AS366" s="180"/>
      <c r="AT366" s="180"/>
      <c r="AU366" s="180"/>
      <c r="AV366" s="180"/>
      <c r="AW366" s="180"/>
      <c r="AX366" s="180"/>
      <c r="AY366" s="180"/>
      <c r="AZ366" s="180"/>
      <c r="BA366" s="180"/>
      <c r="BB366" s="180"/>
      <c r="BC366" s="180"/>
    </row>
    <row r="367" spans="35:55" ht="15.75" customHeight="1" thickBot="1" x14ac:dyDescent="0.4">
      <c r="AI367" s="180"/>
      <c r="AJ367" s="180"/>
      <c r="AK367" s="180"/>
      <c r="AL367" s="180"/>
      <c r="AM367" s="180"/>
      <c r="AN367" s="180"/>
      <c r="AO367" s="180"/>
      <c r="AP367" s="180"/>
      <c r="AQ367" s="180"/>
      <c r="AR367" s="180"/>
      <c r="AS367" s="180"/>
      <c r="AT367" s="180"/>
      <c r="AU367" s="180"/>
      <c r="AV367" s="180"/>
      <c r="AW367" s="180"/>
      <c r="AX367" s="180"/>
      <c r="AY367" s="180"/>
      <c r="AZ367" s="180"/>
      <c r="BA367" s="180"/>
      <c r="BB367" s="180"/>
      <c r="BC367" s="180"/>
    </row>
    <row r="368" spans="35:55" ht="15.75" customHeight="1" thickBot="1" x14ac:dyDescent="0.4">
      <c r="AI368" s="180"/>
      <c r="AJ368" s="180"/>
      <c r="AK368" s="180"/>
      <c r="AL368" s="180"/>
      <c r="AM368" s="180"/>
      <c r="AN368" s="180"/>
      <c r="AO368" s="180"/>
      <c r="AP368" s="180"/>
      <c r="AQ368" s="180"/>
      <c r="AR368" s="180"/>
      <c r="AS368" s="180"/>
      <c r="AT368" s="180"/>
      <c r="AU368" s="180"/>
      <c r="AV368" s="180"/>
      <c r="AW368" s="180"/>
      <c r="AX368" s="180"/>
      <c r="AY368" s="180"/>
      <c r="AZ368" s="180"/>
      <c r="BA368" s="180"/>
      <c r="BB368" s="180"/>
      <c r="BC368" s="180"/>
    </row>
    <row r="369" spans="35:55" ht="15.75" customHeight="1" thickBot="1" x14ac:dyDescent="0.4">
      <c r="AI369" s="180"/>
      <c r="AJ369" s="180"/>
      <c r="AK369" s="180"/>
      <c r="AL369" s="180"/>
      <c r="AM369" s="180"/>
      <c r="AN369" s="180"/>
      <c r="AO369" s="180"/>
      <c r="AP369" s="180"/>
      <c r="AQ369" s="180"/>
      <c r="AR369" s="180"/>
      <c r="AS369" s="180"/>
      <c r="AT369" s="180"/>
      <c r="AU369" s="180"/>
      <c r="AV369" s="180"/>
      <c r="AW369" s="180"/>
      <c r="AX369" s="180"/>
      <c r="AY369" s="180"/>
      <c r="AZ369" s="180"/>
      <c r="BA369" s="180"/>
      <c r="BB369" s="180"/>
      <c r="BC369" s="180"/>
    </row>
    <row r="370" spans="35:55" ht="15.75" customHeight="1" thickBot="1" x14ac:dyDescent="0.4">
      <c r="AI370" s="180"/>
      <c r="AJ370" s="180"/>
      <c r="AK370" s="180"/>
      <c r="AL370" s="180"/>
      <c r="AM370" s="180"/>
      <c r="AN370" s="180"/>
      <c r="AO370" s="180"/>
      <c r="AP370" s="180"/>
      <c r="AQ370" s="180"/>
      <c r="AR370" s="180"/>
      <c r="AS370" s="180"/>
      <c r="AT370" s="180"/>
      <c r="AU370" s="180"/>
      <c r="AV370" s="180"/>
      <c r="AW370" s="180"/>
      <c r="AX370" s="180"/>
      <c r="AY370" s="180"/>
      <c r="AZ370" s="180"/>
      <c r="BA370" s="180"/>
      <c r="BB370" s="180"/>
      <c r="BC370" s="180"/>
    </row>
    <row r="371" spans="35:55" ht="15.75" customHeight="1" thickBot="1" x14ac:dyDescent="0.4">
      <c r="AI371" s="180"/>
      <c r="AJ371" s="180"/>
      <c r="AK371" s="180"/>
      <c r="AL371" s="180"/>
      <c r="AM371" s="180"/>
      <c r="AN371" s="180"/>
      <c r="AO371" s="180"/>
      <c r="AP371" s="180"/>
      <c r="AQ371" s="180"/>
      <c r="AR371" s="180"/>
      <c r="AS371" s="180"/>
      <c r="AT371" s="180"/>
      <c r="AU371" s="180"/>
      <c r="AV371" s="180"/>
      <c r="AW371" s="180"/>
      <c r="AX371" s="180"/>
      <c r="AY371" s="180"/>
      <c r="AZ371" s="180"/>
      <c r="BA371" s="180"/>
      <c r="BB371" s="180"/>
      <c r="BC371" s="180"/>
    </row>
    <row r="372" spans="35:55" ht="15.75" customHeight="1" thickBot="1" x14ac:dyDescent="0.4">
      <c r="AI372" s="180"/>
      <c r="AJ372" s="180"/>
      <c r="AK372" s="180"/>
      <c r="AL372" s="180"/>
      <c r="AM372" s="180"/>
      <c r="AN372" s="180"/>
      <c r="AO372" s="180"/>
      <c r="AP372" s="180"/>
      <c r="AQ372" s="180"/>
      <c r="AR372" s="180"/>
      <c r="AS372" s="180"/>
      <c r="AT372" s="180"/>
      <c r="AU372" s="180"/>
      <c r="AV372" s="180"/>
      <c r="AW372" s="180"/>
      <c r="AX372" s="180"/>
      <c r="AY372" s="180"/>
      <c r="AZ372" s="180"/>
      <c r="BA372" s="180"/>
      <c r="BB372" s="180"/>
      <c r="BC372" s="180"/>
    </row>
    <row r="373" spans="35:55" ht="15.75" customHeight="1" thickBot="1" x14ac:dyDescent="0.4">
      <c r="AI373" s="180"/>
      <c r="AJ373" s="180"/>
      <c r="AK373" s="180"/>
      <c r="AL373" s="180"/>
      <c r="AM373" s="180"/>
      <c r="AN373" s="180"/>
      <c r="AO373" s="180"/>
      <c r="AP373" s="180"/>
      <c r="AQ373" s="180"/>
      <c r="AR373" s="180"/>
      <c r="AS373" s="180"/>
      <c r="AT373" s="180"/>
      <c r="AU373" s="180"/>
      <c r="AV373" s="180"/>
      <c r="AW373" s="180"/>
      <c r="AX373" s="180"/>
      <c r="AY373" s="180"/>
      <c r="AZ373" s="180"/>
      <c r="BA373" s="180"/>
      <c r="BB373" s="180"/>
      <c r="BC373" s="180"/>
    </row>
    <row r="374" spans="35:55" ht="15.75" customHeight="1" thickBot="1" x14ac:dyDescent="0.4">
      <c r="AI374" s="180"/>
      <c r="AJ374" s="180"/>
      <c r="AK374" s="180"/>
      <c r="AL374" s="180"/>
      <c r="AM374" s="180"/>
      <c r="AN374" s="180"/>
      <c r="AO374" s="180"/>
      <c r="AP374" s="180"/>
      <c r="AQ374" s="180"/>
      <c r="AR374" s="180"/>
      <c r="AS374" s="180"/>
      <c r="AT374" s="180"/>
      <c r="AU374" s="180"/>
      <c r="AV374" s="180"/>
      <c r="AW374" s="180"/>
      <c r="AX374" s="180"/>
      <c r="AY374" s="180"/>
      <c r="AZ374" s="180"/>
      <c r="BA374" s="180"/>
      <c r="BB374" s="180"/>
      <c r="BC374" s="180"/>
    </row>
    <row r="375" spans="35:55" ht="15.75" customHeight="1" thickBot="1" x14ac:dyDescent="0.4">
      <c r="AI375" s="180"/>
      <c r="AJ375" s="180"/>
      <c r="AK375" s="180"/>
      <c r="AL375" s="180"/>
      <c r="AM375" s="180"/>
      <c r="AN375" s="180"/>
      <c r="AO375" s="180"/>
      <c r="AP375" s="180"/>
      <c r="AQ375" s="180"/>
      <c r="AR375" s="180"/>
      <c r="AS375" s="180"/>
      <c r="AT375" s="180"/>
      <c r="AU375" s="180"/>
      <c r="AV375" s="180"/>
      <c r="AW375" s="180"/>
      <c r="AX375" s="180"/>
      <c r="AY375" s="180"/>
      <c r="AZ375" s="180"/>
      <c r="BA375" s="180"/>
      <c r="BB375" s="180"/>
      <c r="BC375" s="180"/>
    </row>
    <row r="376" spans="35:55" ht="15.75" customHeight="1" thickBot="1" x14ac:dyDescent="0.4">
      <c r="AI376" s="180"/>
      <c r="AJ376" s="180"/>
      <c r="AK376" s="180"/>
      <c r="AL376" s="180"/>
      <c r="AM376" s="180"/>
      <c r="AN376" s="180"/>
      <c r="AO376" s="180"/>
      <c r="AP376" s="180"/>
      <c r="AQ376" s="180"/>
      <c r="AR376" s="180"/>
      <c r="AS376" s="180"/>
      <c r="AT376" s="180"/>
      <c r="AU376" s="180"/>
      <c r="AV376" s="180"/>
      <c r="AW376" s="180"/>
      <c r="AX376" s="180"/>
      <c r="AY376" s="180"/>
      <c r="AZ376" s="180"/>
      <c r="BA376" s="180"/>
      <c r="BB376" s="180"/>
      <c r="BC376" s="180"/>
    </row>
    <row r="377" spans="35:55" ht="15.75" customHeight="1" thickBot="1" x14ac:dyDescent="0.4">
      <c r="AI377" s="180"/>
      <c r="AJ377" s="180"/>
      <c r="AK377" s="180"/>
      <c r="AL377" s="180"/>
      <c r="AM377" s="180"/>
      <c r="AN377" s="180"/>
      <c r="AO377" s="180"/>
      <c r="AP377" s="180"/>
      <c r="AQ377" s="180"/>
      <c r="AR377" s="180"/>
      <c r="AS377" s="180"/>
      <c r="AT377" s="180"/>
      <c r="AU377" s="180"/>
      <c r="AV377" s="180"/>
      <c r="AW377" s="180"/>
      <c r="AX377" s="180"/>
      <c r="AY377" s="180"/>
      <c r="AZ377" s="180"/>
      <c r="BA377" s="180"/>
      <c r="BB377" s="180"/>
      <c r="BC377" s="180"/>
    </row>
    <row r="378" spans="35:55" ht="15.75" customHeight="1" thickBot="1" x14ac:dyDescent="0.4">
      <c r="AI378" s="180"/>
      <c r="AJ378" s="180"/>
      <c r="AK378" s="180"/>
      <c r="AL378" s="180"/>
      <c r="AM378" s="180"/>
      <c r="AN378" s="180"/>
      <c r="AO378" s="180"/>
      <c r="AP378" s="180"/>
      <c r="AQ378" s="180"/>
      <c r="AR378" s="180"/>
      <c r="AS378" s="180"/>
      <c r="AT378" s="180"/>
      <c r="AU378" s="180"/>
      <c r="AV378" s="180"/>
      <c r="AW378" s="180"/>
      <c r="AX378" s="180"/>
      <c r="AY378" s="180"/>
      <c r="AZ378" s="180"/>
      <c r="BA378" s="180"/>
      <c r="BB378" s="180"/>
      <c r="BC378" s="180"/>
    </row>
    <row r="379" spans="35:55" ht="15.75" customHeight="1" thickBot="1" x14ac:dyDescent="0.4">
      <c r="AI379" s="180"/>
      <c r="AJ379" s="180"/>
      <c r="AK379" s="180"/>
      <c r="AL379" s="180"/>
      <c r="AM379" s="180"/>
      <c r="AN379" s="180"/>
      <c r="AO379" s="180"/>
      <c r="AP379" s="180"/>
      <c r="AQ379" s="180"/>
      <c r="AR379" s="180"/>
      <c r="AS379" s="180"/>
      <c r="AT379" s="180"/>
      <c r="AU379" s="180"/>
      <c r="AV379" s="180"/>
      <c r="AW379" s="180"/>
      <c r="AX379" s="180"/>
      <c r="AY379" s="180"/>
      <c r="AZ379" s="180"/>
      <c r="BA379" s="180"/>
      <c r="BB379" s="180"/>
      <c r="BC379" s="180"/>
    </row>
    <row r="380" spans="35:55" ht="15.75" customHeight="1" thickBot="1" x14ac:dyDescent="0.4">
      <c r="AI380" s="180"/>
      <c r="AJ380" s="180"/>
      <c r="AK380" s="180"/>
      <c r="AL380" s="180"/>
      <c r="AM380" s="180"/>
      <c r="AN380" s="180"/>
      <c r="AO380" s="180"/>
      <c r="AP380" s="180"/>
      <c r="AQ380" s="180"/>
      <c r="AR380" s="180"/>
      <c r="AS380" s="180"/>
      <c r="AT380" s="180"/>
      <c r="AU380" s="180"/>
      <c r="AV380" s="180"/>
      <c r="AW380" s="180"/>
      <c r="AX380" s="180"/>
      <c r="AY380" s="180"/>
      <c r="AZ380" s="180"/>
      <c r="BA380" s="180"/>
      <c r="BB380" s="180"/>
      <c r="BC380" s="180"/>
    </row>
    <row r="381" spans="35:55" ht="15.75" customHeight="1" thickBot="1" x14ac:dyDescent="0.4">
      <c r="AI381" s="180"/>
      <c r="AJ381" s="180"/>
      <c r="AK381" s="180"/>
      <c r="AL381" s="180"/>
      <c r="AM381" s="180"/>
      <c r="AN381" s="180"/>
      <c r="AO381" s="180"/>
      <c r="AP381" s="180"/>
      <c r="AQ381" s="180"/>
      <c r="AR381" s="180"/>
      <c r="AS381" s="180"/>
      <c r="AT381" s="180"/>
      <c r="AU381" s="180"/>
      <c r="AV381" s="180"/>
      <c r="AW381" s="180"/>
      <c r="AX381" s="180"/>
      <c r="AY381" s="180"/>
      <c r="AZ381" s="180"/>
      <c r="BA381" s="180"/>
      <c r="BB381" s="180"/>
      <c r="BC381" s="180"/>
    </row>
    <row r="382" spans="35:55" ht="15.75" customHeight="1" thickBot="1" x14ac:dyDescent="0.4">
      <c r="AI382" s="180"/>
      <c r="AJ382" s="180"/>
      <c r="AK382" s="180"/>
      <c r="AL382" s="180"/>
      <c r="AM382" s="180"/>
      <c r="AN382" s="180"/>
      <c r="AO382" s="180"/>
      <c r="AP382" s="180"/>
      <c r="AQ382" s="180"/>
      <c r="AR382" s="180"/>
      <c r="AS382" s="180"/>
      <c r="AT382" s="180"/>
      <c r="AU382" s="180"/>
      <c r="AV382" s="180"/>
      <c r="AW382" s="180"/>
      <c r="AX382" s="180"/>
      <c r="AY382" s="180"/>
      <c r="AZ382" s="180"/>
      <c r="BA382" s="180"/>
      <c r="BB382" s="180"/>
      <c r="BC382" s="180"/>
    </row>
    <row r="383" spans="35:55" ht="15.75" customHeight="1" thickBot="1" x14ac:dyDescent="0.4">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row>
    <row r="384" spans="35:55" ht="15.75" customHeight="1" thickBot="1" x14ac:dyDescent="0.4">
      <c r="AI384" s="180"/>
      <c r="AJ384" s="180"/>
      <c r="AK384" s="180"/>
      <c r="AL384" s="180"/>
      <c r="AM384" s="180"/>
      <c r="AN384" s="180"/>
      <c r="AO384" s="180"/>
      <c r="AP384" s="180"/>
      <c r="AQ384" s="180"/>
      <c r="AR384" s="180"/>
      <c r="AS384" s="180"/>
      <c r="AT384" s="180"/>
      <c r="AU384" s="180"/>
      <c r="AV384" s="180"/>
      <c r="AW384" s="180"/>
      <c r="AX384" s="180"/>
      <c r="AY384" s="180"/>
      <c r="AZ384" s="180"/>
      <c r="BA384" s="180"/>
      <c r="BB384" s="180"/>
      <c r="BC384" s="180"/>
    </row>
    <row r="385" spans="35:55" ht="15.75" customHeight="1" thickBot="1" x14ac:dyDescent="0.4">
      <c r="AI385" s="180"/>
      <c r="AJ385" s="180"/>
      <c r="AK385" s="180"/>
      <c r="AL385" s="180"/>
      <c r="AM385" s="180"/>
      <c r="AN385" s="180"/>
      <c r="AO385" s="180"/>
      <c r="AP385" s="180"/>
      <c r="AQ385" s="180"/>
      <c r="AR385" s="180"/>
      <c r="AS385" s="180"/>
      <c r="AT385" s="180"/>
      <c r="AU385" s="180"/>
      <c r="AV385" s="180"/>
      <c r="AW385" s="180"/>
      <c r="AX385" s="180"/>
      <c r="AY385" s="180"/>
      <c r="AZ385" s="180"/>
      <c r="BA385" s="180"/>
      <c r="BB385" s="180"/>
      <c r="BC385" s="180"/>
    </row>
    <row r="386" spans="35:55" ht="15.75" customHeight="1" thickBot="1" x14ac:dyDescent="0.4">
      <c r="AI386" s="180"/>
      <c r="AJ386" s="180"/>
      <c r="AK386" s="180"/>
      <c r="AL386" s="180"/>
      <c r="AM386" s="180"/>
      <c r="AN386" s="180"/>
      <c r="AO386" s="180"/>
      <c r="AP386" s="180"/>
      <c r="AQ386" s="180"/>
      <c r="AR386" s="180"/>
      <c r="AS386" s="180"/>
      <c r="AT386" s="180"/>
      <c r="AU386" s="180"/>
      <c r="AV386" s="180"/>
      <c r="AW386" s="180"/>
      <c r="AX386" s="180"/>
      <c r="AY386" s="180"/>
      <c r="AZ386" s="180"/>
      <c r="BA386" s="180"/>
      <c r="BB386" s="180"/>
      <c r="BC386" s="180"/>
    </row>
    <row r="387" spans="35:55" ht="15.75" customHeight="1" thickBot="1" x14ac:dyDescent="0.4">
      <c r="AI387" s="180"/>
      <c r="AJ387" s="180"/>
      <c r="AK387" s="180"/>
      <c r="AL387" s="180"/>
      <c r="AM387" s="180"/>
      <c r="AN387" s="180"/>
      <c r="AO387" s="180"/>
      <c r="AP387" s="180"/>
      <c r="AQ387" s="180"/>
      <c r="AR387" s="180"/>
      <c r="AS387" s="180"/>
      <c r="AT387" s="180"/>
      <c r="AU387" s="180"/>
      <c r="AV387" s="180"/>
      <c r="AW387" s="180"/>
      <c r="AX387" s="180"/>
      <c r="AY387" s="180"/>
      <c r="AZ387" s="180"/>
      <c r="BA387" s="180"/>
      <c r="BB387" s="180"/>
      <c r="BC387" s="180"/>
    </row>
    <row r="388" spans="35:55" ht="15.75" customHeight="1" thickBot="1" x14ac:dyDescent="0.4">
      <c r="AI388" s="180"/>
      <c r="AJ388" s="180"/>
      <c r="AK388" s="180"/>
      <c r="AL388" s="180"/>
      <c r="AM388" s="180"/>
      <c r="AN388" s="180"/>
      <c r="AO388" s="180"/>
      <c r="AP388" s="180"/>
      <c r="AQ388" s="180"/>
      <c r="AR388" s="180"/>
      <c r="AS388" s="180"/>
      <c r="AT388" s="180"/>
      <c r="AU388" s="180"/>
      <c r="AV388" s="180"/>
      <c r="AW388" s="180"/>
      <c r="AX388" s="180"/>
      <c r="AY388" s="180"/>
      <c r="AZ388" s="180"/>
      <c r="BA388" s="180"/>
      <c r="BB388" s="180"/>
      <c r="BC388" s="180"/>
    </row>
    <row r="389" spans="35:55" ht="15.75" customHeight="1" thickBot="1" x14ac:dyDescent="0.4">
      <c r="AI389" s="180"/>
      <c r="AJ389" s="180"/>
      <c r="AK389" s="180"/>
      <c r="AL389" s="180"/>
      <c r="AM389" s="180"/>
      <c r="AN389" s="180"/>
      <c r="AO389" s="180"/>
      <c r="AP389" s="180"/>
      <c r="AQ389" s="180"/>
      <c r="AR389" s="180"/>
      <c r="AS389" s="180"/>
      <c r="AT389" s="180"/>
      <c r="AU389" s="180"/>
      <c r="AV389" s="180"/>
      <c r="AW389" s="180"/>
      <c r="AX389" s="180"/>
      <c r="AY389" s="180"/>
      <c r="AZ389" s="180"/>
      <c r="BA389" s="180"/>
      <c r="BB389" s="180"/>
      <c r="BC389" s="180"/>
    </row>
    <row r="390" spans="35:55" ht="15.75" customHeight="1" thickBot="1" x14ac:dyDescent="0.4">
      <c r="AI390" s="180"/>
      <c r="AJ390" s="180"/>
      <c r="AK390" s="180"/>
      <c r="AL390" s="180"/>
      <c r="AM390" s="180"/>
      <c r="AN390" s="180"/>
      <c r="AO390" s="180"/>
      <c r="AP390" s="180"/>
      <c r="AQ390" s="180"/>
      <c r="AR390" s="180"/>
      <c r="AS390" s="180"/>
      <c r="AT390" s="180"/>
      <c r="AU390" s="180"/>
      <c r="AV390" s="180"/>
      <c r="AW390" s="180"/>
      <c r="AX390" s="180"/>
      <c r="AY390" s="180"/>
      <c r="AZ390" s="180"/>
      <c r="BA390" s="180"/>
      <c r="BB390" s="180"/>
      <c r="BC390" s="180"/>
    </row>
    <row r="391" spans="35:55" ht="15.75" customHeight="1" thickBot="1" x14ac:dyDescent="0.4">
      <c r="AI391" s="180"/>
      <c r="AJ391" s="180"/>
      <c r="AK391" s="180"/>
      <c r="AL391" s="180"/>
      <c r="AM391" s="180"/>
      <c r="AN391" s="180"/>
      <c r="AO391" s="180"/>
      <c r="AP391" s="180"/>
      <c r="AQ391" s="180"/>
      <c r="AR391" s="180"/>
      <c r="AS391" s="180"/>
      <c r="AT391" s="180"/>
      <c r="AU391" s="180"/>
      <c r="AV391" s="180"/>
      <c r="AW391" s="180"/>
      <c r="AX391" s="180"/>
      <c r="AY391" s="180"/>
      <c r="AZ391" s="180"/>
      <c r="BA391" s="180"/>
      <c r="BB391" s="180"/>
      <c r="BC391" s="180"/>
    </row>
    <row r="392" spans="35:55" ht="15.75" customHeight="1" thickBot="1" x14ac:dyDescent="0.4">
      <c r="AI392" s="180"/>
      <c r="AJ392" s="180"/>
      <c r="AK392" s="180"/>
      <c r="AL392" s="180"/>
      <c r="AM392" s="180"/>
      <c r="AN392" s="180"/>
      <c r="AO392" s="180"/>
      <c r="AP392" s="180"/>
      <c r="AQ392" s="180"/>
      <c r="AR392" s="180"/>
      <c r="AS392" s="180"/>
      <c r="AT392" s="180"/>
      <c r="AU392" s="180"/>
      <c r="AV392" s="180"/>
      <c r="AW392" s="180"/>
      <c r="AX392" s="180"/>
      <c r="AY392" s="180"/>
      <c r="AZ392" s="180"/>
      <c r="BA392" s="180"/>
      <c r="BB392" s="180"/>
      <c r="BC392" s="180"/>
    </row>
    <row r="393" spans="35:55" ht="15.75" customHeight="1" thickBot="1" x14ac:dyDescent="0.4">
      <c r="AI393" s="180"/>
      <c r="AJ393" s="180"/>
      <c r="AK393" s="180"/>
      <c r="AL393" s="180"/>
      <c r="AM393" s="180"/>
      <c r="AN393" s="180"/>
      <c r="AO393" s="180"/>
      <c r="AP393" s="180"/>
      <c r="AQ393" s="180"/>
      <c r="AR393" s="180"/>
      <c r="AS393" s="180"/>
      <c r="AT393" s="180"/>
      <c r="AU393" s="180"/>
      <c r="AV393" s="180"/>
      <c r="AW393" s="180"/>
      <c r="AX393" s="180"/>
      <c r="AY393" s="180"/>
      <c r="AZ393" s="180"/>
      <c r="BA393" s="180"/>
      <c r="BB393" s="180"/>
      <c r="BC393" s="180"/>
    </row>
    <row r="394" spans="35:55" ht="15.75" customHeight="1" thickBot="1" x14ac:dyDescent="0.4">
      <c r="AI394" s="180"/>
      <c r="AJ394" s="180"/>
      <c r="AK394" s="180"/>
      <c r="AL394" s="180"/>
      <c r="AM394" s="180"/>
      <c r="AN394" s="180"/>
      <c r="AO394" s="180"/>
      <c r="AP394" s="180"/>
      <c r="AQ394" s="180"/>
      <c r="AR394" s="180"/>
      <c r="AS394" s="180"/>
      <c r="AT394" s="180"/>
      <c r="AU394" s="180"/>
      <c r="AV394" s="180"/>
      <c r="AW394" s="180"/>
      <c r="AX394" s="180"/>
      <c r="AY394" s="180"/>
      <c r="AZ394" s="180"/>
      <c r="BA394" s="180"/>
      <c r="BB394" s="180"/>
      <c r="BC394" s="180"/>
    </row>
    <row r="395" spans="35:55" ht="15.75" customHeight="1" thickBot="1" x14ac:dyDescent="0.4">
      <c r="AI395" s="180"/>
      <c r="AJ395" s="180"/>
      <c r="AK395" s="180"/>
      <c r="AL395" s="180"/>
      <c r="AM395" s="180"/>
      <c r="AN395" s="180"/>
      <c r="AO395" s="180"/>
      <c r="AP395" s="180"/>
      <c r="AQ395" s="180"/>
      <c r="AR395" s="180"/>
      <c r="AS395" s="180"/>
      <c r="AT395" s="180"/>
      <c r="AU395" s="180"/>
      <c r="AV395" s="180"/>
      <c r="AW395" s="180"/>
      <c r="AX395" s="180"/>
      <c r="AY395" s="180"/>
      <c r="AZ395" s="180"/>
      <c r="BA395" s="180"/>
      <c r="BB395" s="180"/>
      <c r="BC395" s="180"/>
    </row>
    <row r="396" spans="35:55" ht="15.75" customHeight="1" thickBot="1" x14ac:dyDescent="0.4">
      <c r="AI396" s="180"/>
      <c r="AJ396" s="180"/>
      <c r="AK396" s="180"/>
      <c r="AL396" s="180"/>
      <c r="AM396" s="180"/>
      <c r="AN396" s="180"/>
      <c r="AO396" s="180"/>
      <c r="AP396" s="180"/>
      <c r="AQ396" s="180"/>
      <c r="AR396" s="180"/>
      <c r="AS396" s="180"/>
      <c r="AT396" s="180"/>
      <c r="AU396" s="180"/>
      <c r="AV396" s="180"/>
      <c r="AW396" s="180"/>
      <c r="AX396" s="180"/>
      <c r="AY396" s="180"/>
      <c r="AZ396" s="180"/>
      <c r="BA396" s="180"/>
      <c r="BB396" s="180"/>
      <c r="BC396" s="180"/>
    </row>
    <row r="397" spans="35:55" ht="15.75" customHeight="1" thickBot="1" x14ac:dyDescent="0.4">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row>
    <row r="398" spans="35:55" ht="15.75" customHeight="1" thickBot="1" x14ac:dyDescent="0.4">
      <c r="AI398" s="180"/>
      <c r="AJ398" s="180"/>
      <c r="AK398" s="180"/>
      <c r="AL398" s="180"/>
      <c r="AM398" s="180"/>
      <c r="AN398" s="180"/>
      <c r="AO398" s="180"/>
      <c r="AP398" s="180"/>
      <c r="AQ398" s="180"/>
      <c r="AR398" s="180"/>
      <c r="AS398" s="180"/>
      <c r="AT398" s="180"/>
      <c r="AU398" s="180"/>
      <c r="AV398" s="180"/>
      <c r="AW398" s="180"/>
      <c r="AX398" s="180"/>
      <c r="AY398" s="180"/>
      <c r="AZ398" s="180"/>
      <c r="BA398" s="180"/>
      <c r="BB398" s="180"/>
      <c r="BC398" s="180"/>
    </row>
    <row r="399" spans="35:55" ht="15.75" customHeight="1" thickBot="1" x14ac:dyDescent="0.4">
      <c r="AI399" s="180"/>
      <c r="AJ399" s="180"/>
      <c r="AK399" s="180"/>
      <c r="AL399" s="180"/>
      <c r="AM399" s="180"/>
      <c r="AN399" s="180"/>
      <c r="AO399" s="180"/>
      <c r="AP399" s="180"/>
      <c r="AQ399" s="180"/>
      <c r="AR399" s="180"/>
      <c r="AS399" s="180"/>
      <c r="AT399" s="180"/>
      <c r="AU399" s="180"/>
      <c r="AV399" s="180"/>
      <c r="AW399" s="180"/>
      <c r="AX399" s="180"/>
      <c r="AY399" s="180"/>
      <c r="AZ399" s="180"/>
      <c r="BA399" s="180"/>
      <c r="BB399" s="180"/>
      <c r="BC399" s="180"/>
    </row>
    <row r="400" spans="35:55" ht="15.75" customHeight="1" thickBot="1" x14ac:dyDescent="0.4">
      <c r="AI400" s="180"/>
      <c r="AJ400" s="180"/>
      <c r="AK400" s="180"/>
      <c r="AL400" s="180"/>
      <c r="AM400" s="180"/>
      <c r="AN400" s="180"/>
      <c r="AO400" s="180"/>
      <c r="AP400" s="180"/>
      <c r="AQ400" s="180"/>
      <c r="AR400" s="180"/>
      <c r="AS400" s="180"/>
      <c r="AT400" s="180"/>
      <c r="AU400" s="180"/>
      <c r="AV400" s="180"/>
      <c r="AW400" s="180"/>
      <c r="AX400" s="180"/>
      <c r="AY400" s="180"/>
      <c r="AZ400" s="180"/>
      <c r="BA400" s="180"/>
      <c r="BB400" s="180"/>
      <c r="BC400" s="180"/>
    </row>
    <row r="401" spans="35:55" ht="15.75" customHeight="1" thickBot="1" x14ac:dyDescent="0.4">
      <c r="AI401" s="180"/>
      <c r="AJ401" s="180"/>
      <c r="AK401" s="180"/>
      <c r="AL401" s="180"/>
      <c r="AM401" s="180"/>
      <c r="AN401" s="180"/>
      <c r="AO401" s="180"/>
      <c r="AP401" s="180"/>
      <c r="AQ401" s="180"/>
      <c r="AR401" s="180"/>
      <c r="AS401" s="180"/>
      <c r="AT401" s="180"/>
      <c r="AU401" s="180"/>
      <c r="AV401" s="180"/>
      <c r="AW401" s="180"/>
      <c r="AX401" s="180"/>
      <c r="AY401" s="180"/>
      <c r="AZ401" s="180"/>
      <c r="BA401" s="180"/>
      <c r="BB401" s="180"/>
      <c r="BC401" s="180"/>
    </row>
    <row r="402" spans="35:55" ht="15.75" customHeight="1" thickBot="1" x14ac:dyDescent="0.4">
      <c r="AI402" s="180"/>
      <c r="AJ402" s="180"/>
      <c r="AK402" s="180"/>
      <c r="AL402" s="180"/>
      <c r="AM402" s="180"/>
      <c r="AN402" s="180"/>
      <c r="AO402" s="180"/>
      <c r="AP402" s="180"/>
      <c r="AQ402" s="180"/>
      <c r="AR402" s="180"/>
      <c r="AS402" s="180"/>
      <c r="AT402" s="180"/>
      <c r="AU402" s="180"/>
      <c r="AV402" s="180"/>
      <c r="AW402" s="180"/>
      <c r="AX402" s="180"/>
      <c r="AY402" s="180"/>
      <c r="AZ402" s="180"/>
      <c r="BA402" s="180"/>
      <c r="BB402" s="180"/>
      <c r="BC402" s="180"/>
    </row>
    <row r="403" spans="35:55" ht="15.75" customHeight="1" thickBot="1" x14ac:dyDescent="0.4">
      <c r="AI403" s="180"/>
      <c r="AJ403" s="180"/>
      <c r="AK403" s="180"/>
      <c r="AL403" s="180"/>
      <c r="AM403" s="180"/>
      <c r="AN403" s="180"/>
      <c r="AO403" s="180"/>
      <c r="AP403" s="180"/>
      <c r="AQ403" s="180"/>
      <c r="AR403" s="180"/>
      <c r="AS403" s="180"/>
      <c r="AT403" s="180"/>
      <c r="AU403" s="180"/>
      <c r="AV403" s="180"/>
      <c r="AW403" s="180"/>
      <c r="AX403" s="180"/>
      <c r="AY403" s="180"/>
      <c r="AZ403" s="180"/>
      <c r="BA403" s="180"/>
      <c r="BB403" s="180"/>
      <c r="BC403" s="180"/>
    </row>
    <row r="404" spans="35:55" ht="15.75" customHeight="1" thickBot="1" x14ac:dyDescent="0.4">
      <c r="AI404" s="180"/>
      <c r="AJ404" s="180"/>
      <c r="AK404" s="180"/>
      <c r="AL404" s="180"/>
      <c r="AM404" s="180"/>
      <c r="AN404" s="180"/>
      <c r="AO404" s="180"/>
      <c r="AP404" s="180"/>
      <c r="AQ404" s="180"/>
      <c r="AR404" s="180"/>
      <c r="AS404" s="180"/>
      <c r="AT404" s="180"/>
      <c r="AU404" s="180"/>
      <c r="AV404" s="180"/>
      <c r="AW404" s="180"/>
      <c r="AX404" s="180"/>
      <c r="AY404" s="180"/>
      <c r="AZ404" s="180"/>
      <c r="BA404" s="180"/>
      <c r="BB404" s="180"/>
      <c r="BC404" s="180"/>
    </row>
    <row r="405" spans="35:55" ht="15.75" customHeight="1" thickBot="1" x14ac:dyDescent="0.4">
      <c r="AI405" s="180"/>
      <c r="AJ405" s="180"/>
      <c r="AK405" s="180"/>
      <c r="AL405" s="180"/>
      <c r="AM405" s="180"/>
      <c r="AN405" s="180"/>
      <c r="AO405" s="180"/>
      <c r="AP405" s="180"/>
      <c r="AQ405" s="180"/>
      <c r="AR405" s="180"/>
      <c r="AS405" s="180"/>
      <c r="AT405" s="180"/>
      <c r="AU405" s="180"/>
      <c r="AV405" s="180"/>
      <c r="AW405" s="180"/>
      <c r="AX405" s="180"/>
      <c r="AY405" s="180"/>
      <c r="AZ405" s="180"/>
      <c r="BA405" s="180"/>
      <c r="BB405" s="180"/>
      <c r="BC405" s="180"/>
    </row>
    <row r="406" spans="35:55" ht="15.75" customHeight="1" thickBot="1" x14ac:dyDescent="0.4">
      <c r="AI406" s="180"/>
      <c r="AJ406" s="180"/>
      <c r="AK406" s="180"/>
      <c r="AL406" s="180"/>
      <c r="AM406" s="180"/>
      <c r="AN406" s="180"/>
      <c r="AO406" s="180"/>
      <c r="AP406" s="180"/>
      <c r="AQ406" s="180"/>
      <c r="AR406" s="180"/>
      <c r="AS406" s="180"/>
      <c r="AT406" s="180"/>
      <c r="AU406" s="180"/>
      <c r="AV406" s="180"/>
      <c r="AW406" s="180"/>
      <c r="AX406" s="180"/>
      <c r="AY406" s="180"/>
      <c r="AZ406" s="180"/>
      <c r="BA406" s="180"/>
      <c r="BB406" s="180"/>
      <c r="BC406" s="180"/>
    </row>
    <row r="407" spans="35:55" ht="15.75" customHeight="1" thickBot="1" x14ac:dyDescent="0.4">
      <c r="AI407" s="180"/>
      <c r="AJ407" s="180"/>
      <c r="AK407" s="180"/>
      <c r="AL407" s="180"/>
      <c r="AM407" s="180"/>
      <c r="AN407" s="180"/>
      <c r="AO407" s="180"/>
      <c r="AP407" s="180"/>
      <c r="AQ407" s="180"/>
      <c r="AR407" s="180"/>
      <c r="AS407" s="180"/>
      <c r="AT407" s="180"/>
      <c r="AU407" s="180"/>
      <c r="AV407" s="180"/>
      <c r="AW407" s="180"/>
      <c r="AX407" s="180"/>
      <c r="AY407" s="180"/>
      <c r="AZ407" s="180"/>
      <c r="BA407" s="180"/>
      <c r="BB407" s="180"/>
      <c r="BC407" s="180"/>
    </row>
    <row r="408" spans="35:55" ht="15.75" customHeight="1" thickBot="1" x14ac:dyDescent="0.4">
      <c r="AI408" s="180"/>
      <c r="AJ408" s="180"/>
      <c r="AK408" s="180"/>
      <c r="AL408" s="180"/>
      <c r="AM408" s="180"/>
      <c r="AN408" s="180"/>
      <c r="AO408" s="180"/>
      <c r="AP408" s="180"/>
      <c r="AQ408" s="180"/>
      <c r="AR408" s="180"/>
      <c r="AS408" s="180"/>
      <c r="AT408" s="180"/>
      <c r="AU408" s="180"/>
      <c r="AV408" s="180"/>
      <c r="AW408" s="180"/>
      <c r="AX408" s="180"/>
      <c r="AY408" s="180"/>
      <c r="AZ408" s="180"/>
      <c r="BA408" s="180"/>
      <c r="BB408" s="180"/>
      <c r="BC408" s="180"/>
    </row>
    <row r="409" spans="35:55" ht="15.75" customHeight="1" thickBot="1" x14ac:dyDescent="0.4">
      <c r="AI409" s="180"/>
      <c r="AJ409" s="180"/>
      <c r="AK409" s="180"/>
      <c r="AL409" s="180"/>
      <c r="AM409" s="180"/>
      <c r="AN409" s="180"/>
      <c r="AO409" s="180"/>
      <c r="AP409" s="180"/>
      <c r="AQ409" s="180"/>
      <c r="AR409" s="180"/>
      <c r="AS409" s="180"/>
      <c r="AT409" s="180"/>
      <c r="AU409" s="180"/>
      <c r="AV409" s="180"/>
      <c r="AW409" s="180"/>
      <c r="AX409" s="180"/>
      <c r="AY409" s="180"/>
      <c r="AZ409" s="180"/>
      <c r="BA409" s="180"/>
      <c r="BB409" s="180"/>
      <c r="BC409" s="180"/>
    </row>
    <row r="410" spans="35:55" ht="15.75" customHeight="1" thickBot="1" x14ac:dyDescent="0.4">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row>
    <row r="411" spans="35:55" ht="15.75" customHeight="1" thickBot="1" x14ac:dyDescent="0.4">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row>
    <row r="412" spans="35:55" ht="15.75" customHeight="1" thickBot="1" x14ac:dyDescent="0.4">
      <c r="AI412" s="180"/>
      <c r="AJ412" s="180"/>
      <c r="AK412" s="180"/>
      <c r="AL412" s="180"/>
      <c r="AM412" s="180"/>
      <c r="AN412" s="180"/>
      <c r="AO412" s="180"/>
      <c r="AP412" s="180"/>
      <c r="AQ412" s="180"/>
      <c r="AR412" s="180"/>
      <c r="AS412" s="180"/>
      <c r="AT412" s="180"/>
      <c r="AU412" s="180"/>
      <c r="AV412" s="180"/>
      <c r="AW412" s="180"/>
      <c r="AX412" s="180"/>
      <c r="AY412" s="180"/>
      <c r="AZ412" s="180"/>
      <c r="BA412" s="180"/>
      <c r="BB412" s="180"/>
      <c r="BC412" s="180"/>
    </row>
    <row r="413" spans="35:55" ht="15.75" customHeight="1" thickBot="1" x14ac:dyDescent="0.4">
      <c r="AI413" s="180"/>
      <c r="AJ413" s="180"/>
      <c r="AK413" s="180"/>
      <c r="AL413" s="180"/>
      <c r="AM413" s="180"/>
      <c r="AN413" s="180"/>
      <c r="AO413" s="180"/>
      <c r="AP413" s="180"/>
      <c r="AQ413" s="180"/>
      <c r="AR413" s="180"/>
      <c r="AS413" s="180"/>
      <c r="AT413" s="180"/>
      <c r="AU413" s="180"/>
      <c r="AV413" s="180"/>
      <c r="AW413" s="180"/>
      <c r="AX413" s="180"/>
      <c r="AY413" s="180"/>
      <c r="AZ413" s="180"/>
      <c r="BA413" s="180"/>
      <c r="BB413" s="180"/>
      <c r="BC413" s="180"/>
    </row>
    <row r="414" spans="35:55" ht="15.75" customHeight="1" thickBot="1" x14ac:dyDescent="0.4">
      <c r="AI414" s="180"/>
      <c r="AJ414" s="180"/>
      <c r="AK414" s="180"/>
      <c r="AL414" s="180"/>
      <c r="AM414" s="180"/>
      <c r="AN414" s="180"/>
      <c r="AO414" s="180"/>
      <c r="AP414" s="180"/>
      <c r="AQ414" s="180"/>
      <c r="AR414" s="180"/>
      <c r="AS414" s="180"/>
      <c r="AT414" s="180"/>
      <c r="AU414" s="180"/>
      <c r="AV414" s="180"/>
      <c r="AW414" s="180"/>
      <c r="AX414" s="180"/>
      <c r="AY414" s="180"/>
      <c r="AZ414" s="180"/>
      <c r="BA414" s="180"/>
      <c r="BB414" s="180"/>
      <c r="BC414" s="180"/>
    </row>
    <row r="415" spans="35:55" ht="15.75" customHeight="1" thickBot="1" x14ac:dyDescent="0.4">
      <c r="AI415" s="180"/>
      <c r="AJ415" s="180"/>
      <c r="AK415" s="180"/>
      <c r="AL415" s="180"/>
      <c r="AM415" s="180"/>
      <c r="AN415" s="180"/>
      <c r="AO415" s="180"/>
      <c r="AP415" s="180"/>
      <c r="AQ415" s="180"/>
      <c r="AR415" s="180"/>
      <c r="AS415" s="180"/>
      <c r="AT415" s="180"/>
      <c r="AU415" s="180"/>
      <c r="AV415" s="180"/>
      <c r="AW415" s="180"/>
      <c r="AX415" s="180"/>
      <c r="AY415" s="180"/>
      <c r="AZ415" s="180"/>
      <c r="BA415" s="180"/>
      <c r="BB415" s="180"/>
      <c r="BC415" s="180"/>
    </row>
    <row r="416" spans="35:55" ht="15.75" customHeight="1" thickBot="1" x14ac:dyDescent="0.4">
      <c r="AI416" s="180"/>
      <c r="AJ416" s="180"/>
      <c r="AK416" s="180"/>
      <c r="AL416" s="180"/>
      <c r="AM416" s="180"/>
      <c r="AN416" s="180"/>
      <c r="AO416" s="180"/>
      <c r="AP416" s="180"/>
      <c r="AQ416" s="180"/>
      <c r="AR416" s="180"/>
      <c r="AS416" s="180"/>
      <c r="AT416" s="180"/>
      <c r="AU416" s="180"/>
      <c r="AV416" s="180"/>
      <c r="AW416" s="180"/>
      <c r="AX416" s="180"/>
      <c r="AY416" s="180"/>
      <c r="AZ416" s="180"/>
      <c r="BA416" s="180"/>
      <c r="BB416" s="180"/>
      <c r="BC416" s="180"/>
    </row>
    <row r="417" spans="35:55" ht="15.75" customHeight="1" thickBot="1" x14ac:dyDescent="0.4">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row>
    <row r="418" spans="35:55" ht="15.75" customHeight="1" thickBot="1" x14ac:dyDescent="0.4">
      <c r="AI418" s="180"/>
      <c r="AJ418" s="180"/>
      <c r="AK418" s="180"/>
      <c r="AL418" s="180"/>
      <c r="AM418" s="180"/>
      <c r="AN418" s="180"/>
      <c r="AO418" s="180"/>
      <c r="AP418" s="180"/>
      <c r="AQ418" s="180"/>
      <c r="AR418" s="180"/>
      <c r="AS418" s="180"/>
      <c r="AT418" s="180"/>
      <c r="AU418" s="180"/>
      <c r="AV418" s="180"/>
      <c r="AW418" s="180"/>
      <c r="AX418" s="180"/>
      <c r="AY418" s="180"/>
      <c r="AZ418" s="180"/>
      <c r="BA418" s="180"/>
      <c r="BB418" s="180"/>
      <c r="BC418" s="180"/>
    </row>
    <row r="419" spans="35:55" ht="15.75" customHeight="1" thickBot="1" x14ac:dyDescent="0.4">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row>
    <row r="420" spans="35:55" ht="15.75" customHeight="1" thickBot="1" x14ac:dyDescent="0.4">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row>
    <row r="421" spans="35:55" ht="15.75" customHeight="1" thickBot="1" x14ac:dyDescent="0.4">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row>
    <row r="422" spans="35:55" ht="15.75" customHeight="1" thickBot="1" x14ac:dyDescent="0.4">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row>
    <row r="423" spans="35:55" ht="15.75" customHeight="1" thickBot="1" x14ac:dyDescent="0.4">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row>
    <row r="424" spans="35:55" ht="15.75" customHeight="1" thickBot="1" x14ac:dyDescent="0.4">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row>
    <row r="425" spans="35:55" ht="15.75" customHeight="1" x14ac:dyDescent="0.35"/>
    <row r="426" spans="35:55" ht="15.75" customHeight="1" x14ac:dyDescent="0.35"/>
    <row r="427" spans="35:55" ht="15.75" customHeight="1" x14ac:dyDescent="0.35"/>
    <row r="428" spans="35:55" ht="15.75" customHeight="1" x14ac:dyDescent="0.35"/>
    <row r="429" spans="35:55" ht="15.75" customHeight="1" x14ac:dyDescent="0.35"/>
    <row r="430" spans="35:55" ht="15.75" customHeight="1" x14ac:dyDescent="0.35"/>
    <row r="431" spans="35:55" ht="15.75" customHeight="1" x14ac:dyDescent="0.35"/>
    <row r="432" spans="35:55"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sheetProtection password="DF7C" sheet="1" objects="1" scenarios="1"/>
  <autoFilter ref="A2:AI132" xr:uid="{00000000-0009-0000-0000-000002000000}">
    <filterColumn colId="1" showButton="0"/>
  </autoFilter>
  <mergeCells count="33">
    <mergeCell ref="B91:C91"/>
    <mergeCell ref="B34:C34"/>
    <mergeCell ref="AF37:AF39"/>
    <mergeCell ref="B129:C129"/>
    <mergeCell ref="B100:C100"/>
    <mergeCell ref="B101:C101"/>
    <mergeCell ref="B107:C107"/>
    <mergeCell ref="B117:C117"/>
    <mergeCell ref="B124:C124"/>
    <mergeCell ref="B125:C125"/>
    <mergeCell ref="B96:C96"/>
    <mergeCell ref="B43:C43"/>
    <mergeCell ref="B45:C45"/>
    <mergeCell ref="B46:C46"/>
    <mergeCell ref="B54:C54"/>
    <mergeCell ref="B59:C59"/>
    <mergeCell ref="B64:C64"/>
    <mergeCell ref="B67:C67"/>
    <mergeCell ref="B68:C68"/>
    <mergeCell ref="B73:C73"/>
    <mergeCell ref="B86:C86"/>
    <mergeCell ref="B2:C2"/>
    <mergeCell ref="B40:C40"/>
    <mergeCell ref="B3:C3"/>
    <mergeCell ref="B4:C4"/>
    <mergeCell ref="B5:C5"/>
    <mergeCell ref="B11:C11"/>
    <mergeCell ref="B15:C15"/>
    <mergeCell ref="B16:C16"/>
    <mergeCell ref="B21:C21"/>
    <mergeCell ref="B24:C24"/>
    <mergeCell ref="B28:C28"/>
    <mergeCell ref="B33:C33"/>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I1000"/>
  <sheetViews>
    <sheetView zoomScale="30" zoomScaleNormal="30" workbookViewId="0">
      <pane xSplit="3" ySplit="2" topLeftCell="Q3" activePane="bottomRight" state="frozen"/>
      <selection pane="topRight" activeCell="D1" sqref="D1"/>
      <selection pane="bottomLeft" activeCell="A3" sqref="A3"/>
      <selection pane="bottomRight" activeCell="AI1" sqref="AI1:AI1048576"/>
    </sheetView>
  </sheetViews>
  <sheetFormatPr baseColWidth="10" defaultColWidth="14.44140625" defaultRowHeight="15" customHeight="1" x14ac:dyDescent="0.35"/>
  <cols>
    <col min="1" max="1" width="1.33203125" style="183" customWidth="1"/>
    <col min="2" max="2" width="67.5546875" style="183" customWidth="1"/>
    <col min="3" max="3" width="66" style="183" customWidth="1"/>
    <col min="4" max="4" width="42.5546875" style="183" customWidth="1"/>
    <col min="5" max="5" width="34.6640625" style="183" customWidth="1"/>
    <col min="6" max="6" width="30.6640625" style="183" customWidth="1"/>
    <col min="7" max="7" width="32.21875" style="183" customWidth="1"/>
    <col min="8" max="9" width="38.21875" style="183" customWidth="1"/>
    <col min="10" max="10" width="36.33203125" style="183" customWidth="1"/>
    <col min="11" max="11" width="38.44140625" style="183" customWidth="1"/>
    <col min="12" max="12" width="37.44140625" style="183" customWidth="1"/>
    <col min="13" max="15" width="33.109375" style="183" customWidth="1"/>
    <col min="16" max="16" width="35.6640625" style="183" customWidth="1"/>
    <col min="17" max="18" width="32.5546875" style="183" customWidth="1"/>
    <col min="19" max="19" width="33.109375" style="183" customWidth="1"/>
    <col min="20" max="20" width="35.5546875" style="183" customWidth="1"/>
    <col min="21" max="21" width="39.33203125" style="183" customWidth="1"/>
    <col min="22" max="22" width="39" style="183" customWidth="1"/>
    <col min="23" max="23" width="40.88671875" style="183" customWidth="1"/>
    <col min="24" max="24" width="38.44140625" style="183" customWidth="1"/>
    <col min="25" max="25" width="36.5546875" style="183" customWidth="1"/>
    <col min="26" max="26" width="42.44140625" style="183" customWidth="1"/>
    <col min="27" max="27" width="39.5546875" style="183" customWidth="1"/>
    <col min="28" max="28" width="41.44140625" style="183" customWidth="1"/>
    <col min="29" max="29" width="52.5546875" style="294" hidden="1" customWidth="1"/>
    <col min="30" max="30" width="73.109375" style="183" hidden="1" customWidth="1"/>
    <col min="31" max="31" width="56" style="183" hidden="1" customWidth="1"/>
    <col min="32" max="32" width="78.109375" style="183" hidden="1" customWidth="1"/>
    <col min="33" max="33" width="72.33203125" style="183" hidden="1" customWidth="1"/>
    <col min="34" max="34" width="70.109375" style="183" hidden="1" customWidth="1"/>
    <col min="35" max="35" width="66.6640625" style="183" hidden="1" customWidth="1"/>
    <col min="36" max="16384" width="14.44140625" style="183"/>
  </cols>
  <sheetData>
    <row r="1" spans="1:113" ht="18.600000000000001" thickBot="1" x14ac:dyDescent="0.4">
      <c r="A1" s="180"/>
      <c r="B1" s="181"/>
      <c r="C1" s="181"/>
      <c r="D1" s="181"/>
      <c r="E1" s="181"/>
      <c r="F1" s="181"/>
      <c r="G1" s="181"/>
      <c r="H1" s="181"/>
      <c r="I1" s="181"/>
      <c r="J1" s="181"/>
      <c r="K1" s="181"/>
      <c r="L1" s="181"/>
      <c r="M1" s="181"/>
      <c r="N1" s="181"/>
      <c r="O1" s="181"/>
      <c r="P1" s="181"/>
      <c r="Q1" s="181"/>
      <c r="R1" s="181"/>
      <c r="S1" s="181"/>
      <c r="T1" s="181"/>
      <c r="U1" s="181"/>
      <c r="V1" s="181"/>
      <c r="W1" s="181"/>
      <c r="X1" s="181"/>
      <c r="Y1" s="181"/>
      <c r="Z1" s="250"/>
      <c r="AA1" s="250"/>
      <c r="AB1" s="680"/>
      <c r="AC1" s="251"/>
    </row>
    <row r="2" spans="1:113" s="342" customFormat="1" ht="222.6" customHeight="1" thickBot="1" x14ac:dyDescent="0.45">
      <c r="A2" s="334"/>
      <c r="B2" s="1294" t="s">
        <v>0</v>
      </c>
      <c r="C2" s="1295"/>
      <c r="D2" s="335" t="s">
        <v>1</v>
      </c>
      <c r="E2" s="336" t="s">
        <v>2</v>
      </c>
      <c r="F2" s="337" t="s">
        <v>3</v>
      </c>
      <c r="G2" s="337" t="s">
        <v>4</v>
      </c>
      <c r="H2" s="337" t="s">
        <v>1873</v>
      </c>
      <c r="I2" s="337" t="s">
        <v>5</v>
      </c>
      <c r="J2" s="337" t="s">
        <v>1874</v>
      </c>
      <c r="K2" s="338" t="s">
        <v>6</v>
      </c>
      <c r="L2" s="338" t="s">
        <v>1875</v>
      </c>
      <c r="M2" s="339" t="s">
        <v>1847</v>
      </c>
      <c r="N2" s="1157" t="s">
        <v>1876</v>
      </c>
      <c r="O2" s="1157" t="s">
        <v>1878</v>
      </c>
      <c r="P2" s="1157" t="s">
        <v>1877</v>
      </c>
      <c r="Q2" s="1157" t="s">
        <v>2442</v>
      </c>
      <c r="R2" s="1157" t="s">
        <v>2486</v>
      </c>
      <c r="S2" s="1157" t="s">
        <v>1879</v>
      </c>
      <c r="T2" s="1157" t="s">
        <v>1880</v>
      </c>
      <c r="U2" s="539" t="s">
        <v>7</v>
      </c>
      <c r="V2" s="1196" t="s">
        <v>2487</v>
      </c>
      <c r="W2" s="464" t="s">
        <v>8</v>
      </c>
      <c r="X2" s="1165" t="s">
        <v>2489</v>
      </c>
      <c r="Y2" s="463" t="s">
        <v>1882</v>
      </c>
      <c r="Z2" s="1197" t="s">
        <v>2488</v>
      </c>
      <c r="AA2" s="667" t="s">
        <v>1849</v>
      </c>
      <c r="AB2" s="1165" t="s">
        <v>2490</v>
      </c>
      <c r="AC2" s="340" t="s">
        <v>2491</v>
      </c>
      <c r="AD2" s="600" t="s">
        <v>1883</v>
      </c>
      <c r="AE2" s="601" t="s">
        <v>2298</v>
      </c>
      <c r="AF2" s="1082" t="s">
        <v>2299</v>
      </c>
      <c r="AG2" s="1083" t="s">
        <v>2351</v>
      </c>
      <c r="AH2" s="1083" t="s">
        <v>2443</v>
      </c>
      <c r="AI2" s="1083" t="s">
        <v>1881</v>
      </c>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c r="BT2" s="341"/>
      <c r="BU2" s="341"/>
      <c r="BV2" s="341"/>
      <c r="BW2" s="341"/>
      <c r="BX2" s="341"/>
      <c r="BY2" s="341"/>
      <c r="BZ2" s="341"/>
      <c r="CA2" s="341"/>
      <c r="CB2" s="341"/>
      <c r="CC2" s="341"/>
      <c r="CD2" s="341"/>
      <c r="CE2" s="341"/>
      <c r="CF2" s="341"/>
      <c r="CG2" s="341"/>
      <c r="CH2" s="341"/>
      <c r="CI2" s="341"/>
      <c r="CJ2" s="341"/>
      <c r="CK2" s="341"/>
      <c r="CL2" s="341"/>
      <c r="CM2" s="341"/>
      <c r="CN2" s="341"/>
      <c r="CO2" s="341"/>
      <c r="CP2" s="341"/>
      <c r="CQ2" s="341"/>
      <c r="CR2" s="341"/>
      <c r="CS2" s="341"/>
      <c r="CT2" s="341"/>
      <c r="CU2" s="341"/>
      <c r="CV2" s="341"/>
      <c r="CW2" s="341"/>
      <c r="CX2" s="341"/>
      <c r="CY2" s="341"/>
      <c r="CZ2" s="341"/>
      <c r="DA2" s="341"/>
      <c r="DB2" s="341"/>
      <c r="DC2" s="341"/>
      <c r="DD2" s="341"/>
      <c r="DE2" s="341"/>
      <c r="DF2" s="341"/>
      <c r="DG2" s="341"/>
      <c r="DH2" s="341"/>
      <c r="DI2" s="341"/>
    </row>
    <row r="3" spans="1:113" s="300" customFormat="1" ht="138" customHeight="1" thickBot="1" x14ac:dyDescent="0.95">
      <c r="A3" s="295"/>
      <c r="B3" s="1334" t="s">
        <v>1801</v>
      </c>
      <c r="C3" s="1335"/>
      <c r="D3" s="296"/>
      <c r="E3" s="297">
        <v>0.25</v>
      </c>
      <c r="F3" s="298"/>
      <c r="G3" s="298"/>
      <c r="H3" s="298"/>
      <c r="I3" s="603">
        <f>+(I4+I26+I37+I60+I82+I97+I135+I167)/7</f>
        <v>0.22385775913845282</v>
      </c>
      <c r="J3" s="603">
        <f>+(J4+J26+J37+J60+J82+J97+J135+J167)/8</f>
        <v>0.23066712604683681</v>
      </c>
      <c r="K3" s="604">
        <f>+(K4+K26+K37+K60+K82+K97+K135)/7</f>
        <v>0.19844971717901827</v>
      </c>
      <c r="L3" s="604">
        <f>+(L4+L26+L37+L60+L82+L97+L135+L167)/8</f>
        <v>0.20087091613383856</v>
      </c>
      <c r="M3" s="299"/>
      <c r="N3" s="299"/>
      <c r="O3" s="299"/>
      <c r="P3" s="299"/>
      <c r="Q3" s="299"/>
      <c r="R3" s="299"/>
      <c r="S3" s="299"/>
      <c r="T3" s="299"/>
      <c r="U3" s="603">
        <f>+(U4+U26+U37+U60+U82+U97+U135)/7</f>
        <v>0.80892636902467829</v>
      </c>
      <c r="V3" s="603">
        <f>+(V4+V26+V37+V60+V82+V97+V135+V167)/8</f>
        <v>0.83345436158257791</v>
      </c>
      <c r="W3" s="604">
        <f>+F4+F26+F37+F60+F82+F97+F135+F167</f>
        <v>0.50590750648462857</v>
      </c>
      <c r="X3" s="604">
        <f>+H4+H26+H37+H60+H82+H97+H135+H167</f>
        <v>0.57551001979401462</v>
      </c>
      <c r="Y3" s="605">
        <f>+(Y4+Y26+Y37+Y60+Y82+Y97+Y135)/7</f>
        <v>0.22152387408750876</v>
      </c>
      <c r="Z3" s="605">
        <f>+(Z4+Z26+Z37+Z60+Z82+Z97+Z135+Z167)/7</f>
        <v>0.48114752787939219</v>
      </c>
      <c r="AA3" s="606">
        <f>+(AA4+AA26+AA37+AA60+AA82+AA97+AA135)/7</f>
        <v>0.18576863791395756</v>
      </c>
      <c r="AB3" s="606">
        <f>+(AB4*E4+AB26*E26+AB37*E37+AB60*E60+AB82*E82+AB97*E97+AB135*E135+AB167*E167)</f>
        <v>0.37052459010275579</v>
      </c>
      <c r="AC3" s="1104"/>
      <c r="AD3" s="607" t="s">
        <v>1888</v>
      </c>
      <c r="AE3" s="298"/>
      <c r="AF3" s="298"/>
      <c r="AG3" s="298"/>
      <c r="AH3" s="298"/>
    </row>
    <row r="4" spans="1:113" ht="78" customHeight="1" thickBot="1" x14ac:dyDescent="0.4">
      <c r="A4" s="184"/>
      <c r="B4" s="1323" t="s">
        <v>1802</v>
      </c>
      <c r="C4" s="1333"/>
      <c r="D4" s="252"/>
      <c r="E4" s="187">
        <v>0.2</v>
      </c>
      <c r="F4" s="188">
        <f>+E4*W4</f>
        <v>0.13357444827586207</v>
      </c>
      <c r="G4" s="253"/>
      <c r="H4" s="188">
        <f>+E4*X4</f>
        <v>0.14020864041867956</v>
      </c>
      <c r="I4" s="190">
        <f>+(I5+I22)/2</f>
        <v>0.17442942942942941</v>
      </c>
      <c r="J4" s="190">
        <f>+(J5+J22)/2</f>
        <v>0.23004504504504508</v>
      </c>
      <c r="K4" s="191">
        <f>+(K5+K22)/2</f>
        <v>0.18726443243243246</v>
      </c>
      <c r="L4" s="191">
        <f>+(L5+L22)/2</f>
        <v>0.24209005405405412</v>
      </c>
      <c r="M4" s="254"/>
      <c r="N4" s="254"/>
      <c r="O4" s="254"/>
      <c r="P4" s="254"/>
      <c r="Q4" s="254"/>
      <c r="R4" s="254"/>
      <c r="S4" s="254"/>
      <c r="T4" s="254"/>
      <c r="U4" s="190">
        <f>+(U5+U22)/2</f>
        <v>0.95366379310344829</v>
      </c>
      <c r="V4" s="190">
        <f>+(V5+V22)/2</f>
        <v>0.92518035426731082</v>
      </c>
      <c r="W4" s="191">
        <f>+W5+W22</f>
        <v>0.66787224137931034</v>
      </c>
      <c r="X4" s="191">
        <f>+X5+X22</f>
        <v>0.70104320209339777</v>
      </c>
      <c r="Y4" s="255">
        <f>(Y5+Y22)/2</f>
        <v>0.23386643243243244</v>
      </c>
      <c r="Z4" s="255">
        <f>(Z5+Z22)/2</f>
        <v>0.45684270833333329</v>
      </c>
      <c r="AA4" s="256">
        <f>+AA5+AA22</f>
        <v>0.22782968756756758</v>
      </c>
      <c r="AB4" s="256">
        <f>+AB5*E5+AB22*E22</f>
        <v>0.54951656666666659</v>
      </c>
      <c r="AC4" s="1105"/>
      <c r="AD4" s="602"/>
      <c r="AE4" s="602"/>
      <c r="AF4" s="602"/>
      <c r="AG4" s="602"/>
      <c r="AH4" s="602"/>
    </row>
    <row r="5" spans="1:113" ht="57" customHeight="1" thickBot="1" x14ac:dyDescent="0.4">
      <c r="A5" s="184"/>
      <c r="B5" s="1319" t="s">
        <v>1803</v>
      </c>
      <c r="C5" s="1333"/>
      <c r="D5" s="252"/>
      <c r="E5" s="257">
        <v>0.7</v>
      </c>
      <c r="F5" s="197"/>
      <c r="G5" s="197"/>
      <c r="H5" s="197"/>
      <c r="I5" s="198">
        <f>+AVERAGE(I6:I21)</f>
        <v>0.21777777777777776</v>
      </c>
      <c r="J5" s="198">
        <f>+AVERAGE(J6:J21)</f>
        <v>0.27000000000000007</v>
      </c>
      <c r="K5" s="198">
        <f>+K6+K7+K8+K9+K10+K11+K12+K13+K14+K15+K16+K17+K18+K19+K20+K21</f>
        <v>0.28966400000000003</v>
      </c>
      <c r="L5" s="198">
        <f>+L6+L7+L8+L9+L10+L11+L12+L13+L14+L15+L16+L17+L18+L19+L20+L21</f>
        <v>0.31607200000000013</v>
      </c>
      <c r="M5" s="197"/>
      <c r="N5" s="197"/>
      <c r="O5" s="197"/>
      <c r="P5" s="197"/>
      <c r="Q5" s="197"/>
      <c r="R5" s="197"/>
      <c r="S5" s="197"/>
      <c r="T5" s="197"/>
      <c r="U5" s="221">
        <f>+AVERAGE(U6:U21)</f>
        <v>0.90732758620689657</v>
      </c>
      <c r="V5" s="221">
        <f>+AVERAGE(V6:V21)</f>
        <v>0.85036070853462165</v>
      </c>
      <c r="W5" s="221">
        <f>+(W6+W7+W8+W9+W10+W11+W12+W13+W14+W15+W16+W17+W18+W19+W20+W21)*E5</f>
        <v>0.48787224137931029</v>
      </c>
      <c r="X5" s="221">
        <f>+(X6+X7+X8+X9+X10+X11+X12+X13+X14+X15+X16+X17+X18+X19+X20+X21)*E5</f>
        <v>0.52104320209339772</v>
      </c>
      <c r="Y5" s="198">
        <f>+AVERAGE(Y6:Y21)</f>
        <v>0.22375</v>
      </c>
      <c r="Z5" s="198">
        <f>+Y5+((Z6-Y6)/16)+((Z7-Y7)/16)+((Z13-Y13)/16)+((Z14-Y14)/16)+((Z15-Y15)/16)+((Z16-Y16)/16)+((Z17-Y17)/16)+((Z18-Y18)/16)+((Z20-Y20)/16)+((Z12-Y12)/16)+((Z21-Y21)/16)</f>
        <v>0.34278541666666668</v>
      </c>
      <c r="AA5" s="258">
        <f>+(AA6+AA7+AA8+AA9+AA10+AA11+AA12+AA13+AA14+AA15+AA16+AA17+AA18+AA19+AA20+AA21)*E5</f>
        <v>0.17677380000000001</v>
      </c>
      <c r="AB5" s="258">
        <f>+(AB6+AB7+AB8+AB9+AB10+AB11+AB12+AB13+AB14+AB15+AB16+AB17+AB18+AB19+AB20+AB21)</f>
        <v>0.55102366666666669</v>
      </c>
      <c r="AC5" s="1106"/>
      <c r="AD5" s="602"/>
      <c r="AE5" s="602"/>
      <c r="AF5" s="602"/>
      <c r="AG5" s="602"/>
      <c r="AH5" s="602"/>
    </row>
    <row r="6" spans="1:113" ht="105.6" customHeight="1" thickBot="1" x14ac:dyDescent="0.4">
      <c r="A6" s="184"/>
      <c r="B6" s="1012" t="s">
        <v>799</v>
      </c>
      <c r="C6" s="1013" t="s">
        <v>1261</v>
      </c>
      <c r="D6" s="260" t="s">
        <v>560</v>
      </c>
      <c r="E6" s="261">
        <v>0.5</v>
      </c>
      <c r="F6" s="262">
        <v>1</v>
      </c>
      <c r="G6" s="199">
        <v>0.28999999999999998</v>
      </c>
      <c r="H6" s="199">
        <v>0.46</v>
      </c>
      <c r="I6" s="205">
        <f t="shared" ref="I6:I18" si="0">+G6/F6</f>
        <v>0.28999999999999998</v>
      </c>
      <c r="J6" s="205">
        <f>+H6/F6</f>
        <v>0.46</v>
      </c>
      <c r="K6" s="205">
        <f>+(G6/F6)*E6</f>
        <v>0.14499999999999999</v>
      </c>
      <c r="L6" s="205">
        <f>+(H6/F6)*E6</f>
        <v>0.23</v>
      </c>
      <c r="M6" s="199">
        <v>0.22</v>
      </c>
      <c r="N6" s="608">
        <v>0.14299999999999999</v>
      </c>
      <c r="O6" s="608">
        <v>0.124</v>
      </c>
      <c r="P6" s="608">
        <v>3.9300000000000002E-2</v>
      </c>
      <c r="Q6" s="608">
        <v>0.1066</v>
      </c>
      <c r="R6" s="608">
        <v>0.01</v>
      </c>
      <c r="S6" s="199">
        <f>+N6+O6+P6+Q6+R6</f>
        <v>0.42290000000000005</v>
      </c>
      <c r="T6" s="199">
        <f t="shared" ref="T6:T21" si="1">+S6+M6</f>
        <v>0.64290000000000003</v>
      </c>
      <c r="U6" s="223">
        <f>+(M6/G6)</f>
        <v>0.75862068965517249</v>
      </c>
      <c r="V6" s="223">
        <f>+S6/H6</f>
        <v>0.91934782608695664</v>
      </c>
      <c r="W6" s="207">
        <f>+U6*E6</f>
        <v>0.37931034482758624</v>
      </c>
      <c r="X6" s="207">
        <f>+V6*E6</f>
        <v>0.45967391304347832</v>
      </c>
      <c r="Y6" s="223">
        <f>+M6/F6</f>
        <v>0.22</v>
      </c>
      <c r="Z6" s="266">
        <f>+T6/F6</f>
        <v>0.64290000000000003</v>
      </c>
      <c r="AA6" s="263">
        <f>+Y6*E6</f>
        <v>0.11</v>
      </c>
      <c r="AB6" s="263">
        <f>+Z6*E6</f>
        <v>0.32145000000000001</v>
      </c>
      <c r="AC6" s="636" t="s">
        <v>1850</v>
      </c>
      <c r="AD6" s="643" t="s">
        <v>1902</v>
      </c>
      <c r="AE6" s="637" t="s">
        <v>2276</v>
      </c>
      <c r="AF6" s="637" t="s">
        <v>2296</v>
      </c>
      <c r="AG6" s="637" t="s">
        <v>2413</v>
      </c>
      <c r="AH6" s="637" t="s">
        <v>2447</v>
      </c>
      <c r="AI6" s="637" t="s">
        <v>2567</v>
      </c>
    </row>
    <row r="7" spans="1:113" ht="133.19999999999999" customHeight="1" thickBot="1" x14ac:dyDescent="0.4">
      <c r="A7" s="184"/>
      <c r="B7" s="1012" t="s">
        <v>800</v>
      </c>
      <c r="C7" s="1013" t="s">
        <v>1262</v>
      </c>
      <c r="D7" s="260" t="s">
        <v>560</v>
      </c>
      <c r="E7" s="264">
        <v>0.2</v>
      </c>
      <c r="F7" s="262">
        <v>1</v>
      </c>
      <c r="G7" s="199">
        <v>0.61</v>
      </c>
      <c r="H7" s="199">
        <v>0.27</v>
      </c>
      <c r="I7" s="205">
        <f t="shared" si="0"/>
        <v>0.61</v>
      </c>
      <c r="J7" s="205">
        <f t="shared" ref="J7:J25" si="2">+H7/F7</f>
        <v>0.27</v>
      </c>
      <c r="K7" s="205">
        <f t="shared" ref="K7:K18" si="3">+(G7/F7)*E7</f>
        <v>0.122</v>
      </c>
      <c r="L7" s="205">
        <f t="shared" ref="L7:L25" si="4">+(H7/F7)*E7</f>
        <v>5.4000000000000006E-2</v>
      </c>
      <c r="M7" s="199">
        <v>0.61</v>
      </c>
      <c r="N7" s="608">
        <v>0.09</v>
      </c>
      <c r="O7" s="608">
        <v>0.11</v>
      </c>
      <c r="P7" s="608">
        <v>0.02</v>
      </c>
      <c r="Q7" s="608">
        <v>0.01</v>
      </c>
      <c r="R7" s="608">
        <v>0.02</v>
      </c>
      <c r="S7" s="199">
        <f t="shared" ref="S7:S70" si="5">+N7+O7+P7+Q7+R7</f>
        <v>0.25</v>
      </c>
      <c r="T7" s="199">
        <f t="shared" si="1"/>
        <v>0.86</v>
      </c>
      <c r="U7" s="205">
        <f>+(M7/G7)</f>
        <v>1</v>
      </c>
      <c r="V7" s="223">
        <f>+S7/H7</f>
        <v>0.92592592592592582</v>
      </c>
      <c r="W7" s="207">
        <f>+U7*E7</f>
        <v>0.2</v>
      </c>
      <c r="X7" s="207">
        <f>+V7*E7</f>
        <v>0.18518518518518517</v>
      </c>
      <c r="Y7" s="223">
        <f>+M7/F7</f>
        <v>0.61</v>
      </c>
      <c r="Z7" s="266">
        <f>+T7/F7</f>
        <v>0.86</v>
      </c>
      <c r="AA7" s="263">
        <f>+Y7*E7</f>
        <v>0.122</v>
      </c>
      <c r="AB7" s="263">
        <f>+Z7*E7</f>
        <v>0.17200000000000001</v>
      </c>
      <c r="AC7" s="636" t="s">
        <v>1850</v>
      </c>
      <c r="AD7" s="643" t="s">
        <v>1902</v>
      </c>
      <c r="AE7" s="637" t="s">
        <v>2276</v>
      </c>
      <c r="AF7" s="637" t="s">
        <v>2296</v>
      </c>
      <c r="AG7" s="637" t="s">
        <v>2413</v>
      </c>
      <c r="AH7" s="639" t="s">
        <v>1865</v>
      </c>
      <c r="AI7" s="637" t="s">
        <v>2567</v>
      </c>
    </row>
    <row r="8" spans="1:113" ht="90" customHeight="1" thickBot="1" x14ac:dyDescent="0.4">
      <c r="A8" s="184"/>
      <c r="B8" s="1012" t="s">
        <v>801</v>
      </c>
      <c r="C8" s="1013" t="s">
        <v>1263</v>
      </c>
      <c r="D8" s="260" t="s">
        <v>802</v>
      </c>
      <c r="E8" s="265">
        <v>2.1999999999999999E-2</v>
      </c>
      <c r="F8" s="262">
        <v>1</v>
      </c>
      <c r="G8" s="199">
        <v>0</v>
      </c>
      <c r="H8" s="199">
        <v>0</v>
      </c>
      <c r="I8" s="205"/>
      <c r="J8" s="205"/>
      <c r="K8" s="205"/>
      <c r="L8" s="205">
        <f t="shared" si="4"/>
        <v>0</v>
      </c>
      <c r="M8" s="199"/>
      <c r="N8" s="608"/>
      <c r="O8" s="608"/>
      <c r="P8" s="608"/>
      <c r="Q8" s="608"/>
      <c r="R8" s="608"/>
      <c r="S8" s="199">
        <f t="shared" si="5"/>
        <v>0</v>
      </c>
      <c r="T8" s="199">
        <f t="shared" si="1"/>
        <v>0</v>
      </c>
      <c r="U8" s="206"/>
      <c r="V8" s="205"/>
      <c r="W8" s="207"/>
      <c r="X8" s="207"/>
      <c r="Y8" s="223"/>
      <c r="Z8" s="266"/>
      <c r="AA8" s="263">
        <v>0</v>
      </c>
      <c r="AB8" s="263">
        <v>0</v>
      </c>
      <c r="AC8" s="636" t="s">
        <v>1850</v>
      </c>
      <c r="AD8" s="643" t="s">
        <v>1902</v>
      </c>
      <c r="AE8" s="637" t="s">
        <v>2276</v>
      </c>
      <c r="AF8" s="637" t="s">
        <v>2296</v>
      </c>
      <c r="AG8" s="637" t="s">
        <v>2413</v>
      </c>
      <c r="AH8" s="639" t="s">
        <v>1865</v>
      </c>
      <c r="AI8" s="637" t="s">
        <v>2567</v>
      </c>
    </row>
    <row r="9" spans="1:113" ht="81" customHeight="1" thickBot="1" x14ac:dyDescent="0.4">
      <c r="A9" s="184"/>
      <c r="B9" s="1012" t="s">
        <v>803</v>
      </c>
      <c r="C9" s="1013" t="s">
        <v>1264</v>
      </c>
      <c r="D9" s="260" t="s">
        <v>560</v>
      </c>
      <c r="E9" s="265">
        <v>2.1399999999999999E-2</v>
      </c>
      <c r="F9" s="262">
        <v>1</v>
      </c>
      <c r="G9" s="199">
        <v>0</v>
      </c>
      <c r="H9" s="199">
        <v>0</v>
      </c>
      <c r="I9" s="205"/>
      <c r="J9" s="205"/>
      <c r="K9" s="205"/>
      <c r="L9" s="205">
        <f t="shared" si="4"/>
        <v>0</v>
      </c>
      <c r="M9" s="199"/>
      <c r="N9" s="608"/>
      <c r="O9" s="608"/>
      <c r="P9" s="608"/>
      <c r="Q9" s="608"/>
      <c r="R9" s="608"/>
      <c r="S9" s="199">
        <f>+N9+O9+P9+Q9+R9</f>
        <v>0</v>
      </c>
      <c r="T9" s="199">
        <f t="shared" si="1"/>
        <v>0</v>
      </c>
      <c r="U9" s="206"/>
      <c r="V9" s="205"/>
      <c r="W9" s="207"/>
      <c r="X9" s="207"/>
      <c r="Y9" s="223"/>
      <c r="Z9" s="266"/>
      <c r="AA9" s="263">
        <v>0</v>
      </c>
      <c r="AB9" s="263">
        <v>0</v>
      </c>
      <c r="AC9" s="636" t="s">
        <v>1850</v>
      </c>
      <c r="AD9" s="643" t="s">
        <v>1902</v>
      </c>
      <c r="AE9" s="637" t="s">
        <v>2276</v>
      </c>
      <c r="AF9" s="637" t="s">
        <v>2296</v>
      </c>
      <c r="AG9" s="637" t="s">
        <v>2413</v>
      </c>
      <c r="AH9" s="639" t="s">
        <v>1865</v>
      </c>
      <c r="AI9" s="637" t="s">
        <v>2567</v>
      </c>
    </row>
    <row r="10" spans="1:113" ht="127.8" customHeight="1" thickBot="1" x14ac:dyDescent="0.4">
      <c r="A10" s="184"/>
      <c r="B10" s="1012" t="s">
        <v>804</v>
      </c>
      <c r="C10" s="1013" t="s">
        <v>1265</v>
      </c>
      <c r="D10" s="260" t="s">
        <v>560</v>
      </c>
      <c r="E10" s="265">
        <v>2.1399999999999999E-2</v>
      </c>
      <c r="F10" s="262">
        <v>1</v>
      </c>
      <c r="G10" s="199">
        <v>0</v>
      </c>
      <c r="H10" s="199">
        <v>0</v>
      </c>
      <c r="I10" s="205"/>
      <c r="J10" s="205"/>
      <c r="K10" s="205"/>
      <c r="L10" s="205">
        <f t="shared" si="4"/>
        <v>0</v>
      </c>
      <c r="M10" s="199"/>
      <c r="N10" s="608"/>
      <c r="O10" s="608"/>
      <c r="P10" s="608"/>
      <c r="Q10" s="608"/>
      <c r="R10" s="608"/>
      <c r="S10" s="199">
        <f t="shared" si="5"/>
        <v>0</v>
      </c>
      <c r="T10" s="199">
        <f t="shared" si="1"/>
        <v>0</v>
      </c>
      <c r="U10" s="206"/>
      <c r="V10" s="205"/>
      <c r="W10" s="207"/>
      <c r="X10" s="207"/>
      <c r="Y10" s="223"/>
      <c r="Z10" s="266"/>
      <c r="AA10" s="263">
        <v>0</v>
      </c>
      <c r="AB10" s="263">
        <v>0</v>
      </c>
      <c r="AC10" s="636" t="s">
        <v>1850</v>
      </c>
      <c r="AD10" s="643" t="s">
        <v>1902</v>
      </c>
      <c r="AE10" s="637" t="s">
        <v>2276</v>
      </c>
      <c r="AF10" s="637" t="s">
        <v>2296</v>
      </c>
      <c r="AG10" s="637" t="s">
        <v>2413</v>
      </c>
      <c r="AH10" s="639" t="s">
        <v>1865</v>
      </c>
      <c r="AI10" s="637" t="s">
        <v>2567</v>
      </c>
    </row>
    <row r="11" spans="1:113" ht="115.95" customHeight="1" thickBot="1" x14ac:dyDescent="0.4">
      <c r="A11" s="184"/>
      <c r="B11" s="1012" t="s">
        <v>805</v>
      </c>
      <c r="C11" s="1013" t="s">
        <v>1266</v>
      </c>
      <c r="D11" s="260" t="s">
        <v>560</v>
      </c>
      <c r="E11" s="265">
        <v>2.1399999999999999E-2</v>
      </c>
      <c r="F11" s="262">
        <v>2</v>
      </c>
      <c r="G11" s="199">
        <v>0</v>
      </c>
      <c r="H11" s="199">
        <v>0</v>
      </c>
      <c r="I11" s="205"/>
      <c r="J11" s="205"/>
      <c r="K11" s="205"/>
      <c r="L11" s="205">
        <f t="shared" si="4"/>
        <v>0</v>
      </c>
      <c r="M11" s="199"/>
      <c r="N11" s="608"/>
      <c r="O11" s="608"/>
      <c r="P11" s="608"/>
      <c r="Q11" s="608"/>
      <c r="R11" s="608"/>
      <c r="S11" s="199">
        <f t="shared" si="5"/>
        <v>0</v>
      </c>
      <c r="T11" s="199">
        <f t="shared" si="1"/>
        <v>0</v>
      </c>
      <c r="U11" s="206"/>
      <c r="V11" s="205"/>
      <c r="W11" s="207"/>
      <c r="X11" s="207"/>
      <c r="Y11" s="223"/>
      <c r="Z11" s="266"/>
      <c r="AA11" s="263">
        <v>0</v>
      </c>
      <c r="AB11" s="263">
        <v>0</v>
      </c>
      <c r="AC11" s="636" t="s">
        <v>1850</v>
      </c>
      <c r="AD11" s="643" t="s">
        <v>1902</v>
      </c>
      <c r="AE11" s="637" t="s">
        <v>2276</v>
      </c>
      <c r="AF11" s="637" t="s">
        <v>2296</v>
      </c>
      <c r="AG11" s="637" t="s">
        <v>2413</v>
      </c>
      <c r="AH11" s="639" t="s">
        <v>1865</v>
      </c>
      <c r="AI11" s="637" t="s">
        <v>2567</v>
      </c>
    </row>
    <row r="12" spans="1:113" ht="94.95" customHeight="1" thickBot="1" x14ac:dyDescent="0.4">
      <c r="A12" s="184"/>
      <c r="B12" s="1012" t="s">
        <v>806</v>
      </c>
      <c r="C12" s="1013" t="s">
        <v>1267</v>
      </c>
      <c r="D12" s="260" t="s">
        <v>560</v>
      </c>
      <c r="E12" s="265">
        <v>2.1299999999999999E-2</v>
      </c>
      <c r="F12" s="262">
        <v>1</v>
      </c>
      <c r="G12" s="199">
        <v>0</v>
      </c>
      <c r="H12" s="199">
        <v>0.1</v>
      </c>
      <c r="I12" s="205"/>
      <c r="J12" s="205">
        <f t="shared" si="2"/>
        <v>0.1</v>
      </c>
      <c r="K12" s="205"/>
      <c r="L12" s="205">
        <f t="shared" si="4"/>
        <v>2.1299999999999999E-3</v>
      </c>
      <c r="M12" s="199"/>
      <c r="N12" s="608"/>
      <c r="O12" s="608"/>
      <c r="P12" s="609">
        <v>0.1</v>
      </c>
      <c r="Q12" s="608">
        <v>0</v>
      </c>
      <c r="R12" s="608">
        <v>0</v>
      </c>
      <c r="S12" s="199">
        <f t="shared" si="5"/>
        <v>0.1</v>
      </c>
      <c r="T12" s="199">
        <f t="shared" si="1"/>
        <v>0.1</v>
      </c>
      <c r="U12" s="206"/>
      <c r="V12" s="205">
        <f>+S12/H12</f>
        <v>1</v>
      </c>
      <c r="W12" s="207"/>
      <c r="X12" s="207">
        <f t="shared" ref="X12:X18" si="6">+V12*E12</f>
        <v>2.1299999999999999E-2</v>
      </c>
      <c r="Y12" s="223"/>
      <c r="Z12" s="266">
        <f t="shared" ref="Z12:Z19" si="7">+T12/F12</f>
        <v>0.1</v>
      </c>
      <c r="AA12" s="263">
        <v>0</v>
      </c>
      <c r="AB12" s="263">
        <v>0</v>
      </c>
      <c r="AC12" s="636" t="s">
        <v>1850</v>
      </c>
      <c r="AD12" s="643" t="s">
        <v>1902</v>
      </c>
      <c r="AE12" s="637" t="s">
        <v>2276</v>
      </c>
      <c r="AF12" s="637" t="s">
        <v>2296</v>
      </c>
      <c r="AG12" s="766" t="s">
        <v>2380</v>
      </c>
      <c r="AH12" s="639" t="s">
        <v>1865</v>
      </c>
      <c r="AI12" s="637" t="s">
        <v>2567</v>
      </c>
    </row>
    <row r="13" spans="1:113" ht="69.599999999999994" customHeight="1" thickBot="1" x14ac:dyDescent="0.4">
      <c r="A13" s="184"/>
      <c r="B13" s="1012" t="s">
        <v>807</v>
      </c>
      <c r="C13" s="1013" t="s">
        <v>1268</v>
      </c>
      <c r="D13" s="260" t="s">
        <v>560</v>
      </c>
      <c r="E13" s="265">
        <v>2.1299999999999999E-2</v>
      </c>
      <c r="F13" s="262">
        <v>1</v>
      </c>
      <c r="G13" s="199">
        <v>0.2</v>
      </c>
      <c r="H13" s="199">
        <v>0.18</v>
      </c>
      <c r="I13" s="205">
        <f t="shared" si="0"/>
        <v>0.2</v>
      </c>
      <c r="J13" s="205">
        <f t="shared" si="2"/>
        <v>0.18</v>
      </c>
      <c r="K13" s="205">
        <f t="shared" si="3"/>
        <v>4.2599999999999999E-3</v>
      </c>
      <c r="L13" s="205">
        <f t="shared" si="4"/>
        <v>3.8339999999999997E-3</v>
      </c>
      <c r="M13" s="199">
        <v>0.1</v>
      </c>
      <c r="N13" s="646">
        <v>0.02</v>
      </c>
      <c r="O13" s="646">
        <v>2.33333333333333E-2</v>
      </c>
      <c r="P13" s="609">
        <v>9.6666666666666706E-2</v>
      </c>
      <c r="Q13" s="609">
        <v>0.02</v>
      </c>
      <c r="R13" s="609">
        <v>0.02</v>
      </c>
      <c r="S13" s="235">
        <f t="shared" si="5"/>
        <v>0.18</v>
      </c>
      <c r="T13" s="235">
        <f t="shared" si="1"/>
        <v>0.28000000000000003</v>
      </c>
      <c r="U13" s="205">
        <f t="shared" ref="U13:U18" si="8">+(M13/G13)</f>
        <v>0.5</v>
      </c>
      <c r="V13" s="205">
        <f>+S13/H13</f>
        <v>1</v>
      </c>
      <c r="W13" s="207">
        <f t="shared" ref="W13:W18" si="9">+U13*E13</f>
        <v>1.065E-2</v>
      </c>
      <c r="X13" s="207">
        <f t="shared" si="6"/>
        <v>2.1299999999999999E-2</v>
      </c>
      <c r="Y13" s="223">
        <f t="shared" ref="Y13:Y18" si="10">+M13/F13</f>
        <v>0.1</v>
      </c>
      <c r="Z13" s="266">
        <f t="shared" si="7"/>
        <v>0.28000000000000003</v>
      </c>
      <c r="AA13" s="266">
        <f t="shared" ref="AA13:AA18" si="11">+Y13*E13</f>
        <v>2.1299999999999999E-3</v>
      </c>
      <c r="AB13" s="266">
        <f t="shared" ref="AB13:AB21" si="12">+Z13*E13</f>
        <v>5.9640000000000006E-3</v>
      </c>
      <c r="AC13" s="636" t="s">
        <v>1850</v>
      </c>
      <c r="AD13" s="643" t="s">
        <v>1902</v>
      </c>
      <c r="AE13" s="637" t="s">
        <v>2276</v>
      </c>
      <c r="AF13" s="637" t="s">
        <v>2296</v>
      </c>
      <c r="AG13" s="637" t="s">
        <v>2413</v>
      </c>
      <c r="AH13" s="639" t="s">
        <v>1865</v>
      </c>
      <c r="AI13" s="637" t="s">
        <v>2567</v>
      </c>
    </row>
    <row r="14" spans="1:113" ht="66" customHeight="1" thickBot="1" x14ac:dyDescent="0.4">
      <c r="A14" s="184"/>
      <c r="B14" s="1012" t="s">
        <v>808</v>
      </c>
      <c r="C14" s="1013" t="s">
        <v>1269</v>
      </c>
      <c r="D14" s="260" t="s">
        <v>560</v>
      </c>
      <c r="E14" s="265">
        <v>2.1399999999999999E-2</v>
      </c>
      <c r="F14" s="262">
        <v>2</v>
      </c>
      <c r="G14" s="199">
        <v>0.2</v>
      </c>
      <c r="H14" s="199">
        <v>0.4</v>
      </c>
      <c r="I14" s="205">
        <f t="shared" si="0"/>
        <v>0.1</v>
      </c>
      <c r="J14" s="205">
        <v>0.4</v>
      </c>
      <c r="K14" s="205">
        <f t="shared" si="3"/>
        <v>2.14E-3</v>
      </c>
      <c r="L14" s="205">
        <f t="shared" si="4"/>
        <v>4.28E-3</v>
      </c>
      <c r="M14" s="199">
        <v>0.2</v>
      </c>
      <c r="N14" s="646">
        <v>0.05</v>
      </c>
      <c r="O14" s="646">
        <v>0.06</v>
      </c>
      <c r="P14" s="646">
        <v>8.3333333333333301E-2</v>
      </c>
      <c r="Q14" s="646">
        <v>3.3300000000000003E-2</v>
      </c>
      <c r="R14" s="646">
        <v>3.6700000000000003E-2</v>
      </c>
      <c r="S14" s="235">
        <f t="shared" si="5"/>
        <v>0.26333333333333331</v>
      </c>
      <c r="T14" s="235">
        <f t="shared" si="1"/>
        <v>0.46333333333333332</v>
      </c>
      <c r="U14" s="205">
        <f t="shared" si="8"/>
        <v>1</v>
      </c>
      <c r="V14" s="205">
        <f>+S14/H14</f>
        <v>0.65833333333333321</v>
      </c>
      <c r="W14" s="207">
        <f t="shared" si="9"/>
        <v>2.1399999999999999E-2</v>
      </c>
      <c r="X14" s="207">
        <f t="shared" si="6"/>
        <v>1.4088333333333329E-2</v>
      </c>
      <c r="Y14" s="223">
        <f t="shared" si="10"/>
        <v>0.1</v>
      </c>
      <c r="Z14" s="266">
        <f t="shared" si="7"/>
        <v>0.23166666666666666</v>
      </c>
      <c r="AA14" s="266">
        <f t="shared" si="11"/>
        <v>2.14E-3</v>
      </c>
      <c r="AB14" s="266">
        <f t="shared" si="12"/>
        <v>4.9576666666666666E-3</v>
      </c>
      <c r="AC14" s="636" t="s">
        <v>1850</v>
      </c>
      <c r="AD14" s="643" t="s">
        <v>1902</v>
      </c>
      <c r="AE14" s="637" t="s">
        <v>2276</v>
      </c>
      <c r="AF14" s="637" t="s">
        <v>2296</v>
      </c>
      <c r="AG14" s="637" t="s">
        <v>2413</v>
      </c>
      <c r="AH14" s="639" t="s">
        <v>1865</v>
      </c>
      <c r="AI14" s="637" t="s">
        <v>2567</v>
      </c>
    </row>
    <row r="15" spans="1:113" ht="127.2" customHeight="1" thickBot="1" x14ac:dyDescent="0.4">
      <c r="A15" s="184"/>
      <c r="B15" s="1012" t="s">
        <v>809</v>
      </c>
      <c r="C15" s="1013" t="s">
        <v>1270</v>
      </c>
      <c r="D15" s="260" t="s">
        <v>560</v>
      </c>
      <c r="E15" s="265">
        <v>2.1399999999999999E-2</v>
      </c>
      <c r="F15" s="262">
        <v>1</v>
      </c>
      <c r="G15" s="199">
        <v>0.2</v>
      </c>
      <c r="H15" s="199">
        <v>0</v>
      </c>
      <c r="I15" s="205">
        <f t="shared" si="0"/>
        <v>0.2</v>
      </c>
      <c r="J15" s="205"/>
      <c r="K15" s="205">
        <f t="shared" si="3"/>
        <v>4.28E-3</v>
      </c>
      <c r="L15" s="205">
        <f t="shared" si="4"/>
        <v>0</v>
      </c>
      <c r="M15" s="199">
        <v>0.2</v>
      </c>
      <c r="N15" s="608"/>
      <c r="O15" s="608"/>
      <c r="P15" s="608"/>
      <c r="Q15" s="608"/>
      <c r="R15" s="608"/>
      <c r="S15" s="199">
        <f t="shared" si="5"/>
        <v>0</v>
      </c>
      <c r="T15" s="199">
        <f t="shared" si="1"/>
        <v>0.2</v>
      </c>
      <c r="U15" s="205">
        <f t="shared" si="8"/>
        <v>1</v>
      </c>
      <c r="V15" s="205"/>
      <c r="W15" s="207">
        <f t="shared" si="9"/>
        <v>2.1399999999999999E-2</v>
      </c>
      <c r="X15" s="207">
        <f t="shared" si="6"/>
        <v>0</v>
      </c>
      <c r="Y15" s="223">
        <f t="shared" si="10"/>
        <v>0.2</v>
      </c>
      <c r="Z15" s="266">
        <f t="shared" si="7"/>
        <v>0.2</v>
      </c>
      <c r="AA15" s="266">
        <f t="shared" si="11"/>
        <v>4.28E-3</v>
      </c>
      <c r="AB15" s="266">
        <f t="shared" si="12"/>
        <v>4.28E-3</v>
      </c>
      <c r="AC15" s="636" t="s">
        <v>1850</v>
      </c>
      <c r="AD15" s="643" t="s">
        <v>1902</v>
      </c>
      <c r="AE15" s="637" t="s">
        <v>2276</v>
      </c>
      <c r="AF15" s="637" t="s">
        <v>2296</v>
      </c>
      <c r="AG15" s="637" t="s">
        <v>2413</v>
      </c>
      <c r="AH15" s="639" t="s">
        <v>1865</v>
      </c>
      <c r="AI15" s="637" t="s">
        <v>2567</v>
      </c>
    </row>
    <row r="16" spans="1:113" ht="70.2" customHeight="1" thickBot="1" x14ac:dyDescent="0.4">
      <c r="A16" s="184"/>
      <c r="B16" s="1012" t="s">
        <v>810</v>
      </c>
      <c r="C16" s="1013" t="s">
        <v>1271</v>
      </c>
      <c r="D16" s="260" t="s">
        <v>811</v>
      </c>
      <c r="E16" s="265">
        <v>2.1399999999999999E-2</v>
      </c>
      <c r="F16" s="262">
        <v>1</v>
      </c>
      <c r="G16" s="199">
        <v>0.2</v>
      </c>
      <c r="H16" s="199">
        <v>0</v>
      </c>
      <c r="I16" s="205">
        <f t="shared" si="0"/>
        <v>0.2</v>
      </c>
      <c r="J16" s="205"/>
      <c r="K16" s="205">
        <f t="shared" si="3"/>
        <v>4.28E-3</v>
      </c>
      <c r="L16" s="205">
        <f t="shared" si="4"/>
        <v>0</v>
      </c>
      <c r="M16" s="199">
        <v>0.2</v>
      </c>
      <c r="N16" s="608"/>
      <c r="O16" s="608"/>
      <c r="P16" s="608"/>
      <c r="Q16" s="608"/>
      <c r="R16" s="608"/>
      <c r="S16" s="199">
        <f t="shared" si="5"/>
        <v>0</v>
      </c>
      <c r="T16" s="199">
        <f t="shared" si="1"/>
        <v>0.2</v>
      </c>
      <c r="U16" s="205">
        <f t="shared" si="8"/>
        <v>1</v>
      </c>
      <c r="V16" s="205"/>
      <c r="W16" s="207">
        <f t="shared" si="9"/>
        <v>2.1399999999999999E-2</v>
      </c>
      <c r="X16" s="207">
        <f t="shared" si="6"/>
        <v>0</v>
      </c>
      <c r="Y16" s="223">
        <f t="shared" si="10"/>
        <v>0.2</v>
      </c>
      <c r="Z16" s="266">
        <f t="shared" si="7"/>
        <v>0.2</v>
      </c>
      <c r="AA16" s="266">
        <f t="shared" si="11"/>
        <v>4.28E-3</v>
      </c>
      <c r="AB16" s="266">
        <f t="shared" si="12"/>
        <v>4.28E-3</v>
      </c>
      <c r="AC16" s="636" t="s">
        <v>1850</v>
      </c>
      <c r="AD16" s="643" t="s">
        <v>1902</v>
      </c>
      <c r="AE16" s="637" t="s">
        <v>2276</v>
      </c>
      <c r="AF16" s="637" t="s">
        <v>2296</v>
      </c>
      <c r="AG16" s="637" t="s">
        <v>2413</v>
      </c>
      <c r="AH16" s="639" t="s">
        <v>1865</v>
      </c>
      <c r="AI16" s="637" t="s">
        <v>2567</v>
      </c>
    </row>
    <row r="17" spans="1:35" ht="70.2" customHeight="1" thickBot="1" x14ac:dyDescent="0.4">
      <c r="A17" s="184"/>
      <c r="B17" s="1012" t="s">
        <v>812</v>
      </c>
      <c r="C17" s="1013" t="s">
        <v>1272</v>
      </c>
      <c r="D17" s="260" t="s">
        <v>811</v>
      </c>
      <c r="E17" s="265">
        <v>2.1399999999999999E-2</v>
      </c>
      <c r="F17" s="262">
        <v>1</v>
      </c>
      <c r="G17" s="199">
        <v>0.25</v>
      </c>
      <c r="H17" s="199">
        <v>0.25</v>
      </c>
      <c r="I17" s="205">
        <f t="shared" si="0"/>
        <v>0.25</v>
      </c>
      <c r="J17" s="205">
        <f t="shared" si="2"/>
        <v>0.25</v>
      </c>
      <c r="K17" s="205">
        <f t="shared" si="3"/>
        <v>5.3499999999999997E-3</v>
      </c>
      <c r="L17" s="205">
        <f t="shared" si="4"/>
        <v>5.3499999999999997E-3</v>
      </c>
      <c r="M17" s="199">
        <v>0.25</v>
      </c>
      <c r="N17" s="608">
        <v>6.25E-2</v>
      </c>
      <c r="O17" s="608">
        <v>6.25E-2</v>
      </c>
      <c r="P17" s="608">
        <v>6.25E-2</v>
      </c>
      <c r="Q17" s="608">
        <v>2.0800000000000013E-2</v>
      </c>
      <c r="R17" s="608">
        <v>4.1699999999999987E-2</v>
      </c>
      <c r="S17" s="199">
        <f t="shared" si="5"/>
        <v>0.25</v>
      </c>
      <c r="T17" s="199">
        <f t="shared" si="1"/>
        <v>0.5</v>
      </c>
      <c r="U17" s="205">
        <f t="shared" si="8"/>
        <v>1</v>
      </c>
      <c r="V17" s="223">
        <f>+S17/H17</f>
        <v>1</v>
      </c>
      <c r="W17" s="207">
        <f t="shared" si="9"/>
        <v>2.1399999999999999E-2</v>
      </c>
      <c r="X17" s="207">
        <f t="shared" si="6"/>
        <v>2.1399999999999999E-2</v>
      </c>
      <c r="Y17" s="223">
        <f t="shared" si="10"/>
        <v>0.25</v>
      </c>
      <c r="Z17" s="266">
        <f t="shared" si="7"/>
        <v>0.5</v>
      </c>
      <c r="AA17" s="266">
        <f t="shared" si="11"/>
        <v>5.3499999999999997E-3</v>
      </c>
      <c r="AB17" s="266">
        <f t="shared" si="12"/>
        <v>1.0699999999999999E-2</v>
      </c>
      <c r="AC17" s="636" t="s">
        <v>1850</v>
      </c>
      <c r="AD17" s="643" t="s">
        <v>1902</v>
      </c>
      <c r="AE17" s="637" t="s">
        <v>2276</v>
      </c>
      <c r="AF17" s="637" t="s">
        <v>2296</v>
      </c>
      <c r="AG17" s="637" t="s">
        <v>2413</v>
      </c>
      <c r="AH17" s="639" t="s">
        <v>1865</v>
      </c>
      <c r="AI17" s="637" t="s">
        <v>2567</v>
      </c>
    </row>
    <row r="18" spans="1:35" ht="55.2" customHeight="1" thickBot="1" x14ac:dyDescent="0.4">
      <c r="A18" s="184"/>
      <c r="B18" s="1012" t="s">
        <v>813</v>
      </c>
      <c r="C18" s="1013" t="s">
        <v>1273</v>
      </c>
      <c r="D18" s="260" t="s">
        <v>811</v>
      </c>
      <c r="E18" s="265">
        <v>2.1399999999999999E-2</v>
      </c>
      <c r="F18" s="262">
        <v>1</v>
      </c>
      <c r="G18" s="199">
        <v>0.11</v>
      </c>
      <c r="H18" s="199">
        <v>0.32</v>
      </c>
      <c r="I18" s="205">
        <f t="shared" si="0"/>
        <v>0.11</v>
      </c>
      <c r="J18" s="205">
        <f t="shared" si="2"/>
        <v>0.32</v>
      </c>
      <c r="K18" s="205">
        <f t="shared" si="3"/>
        <v>2.3539999999999998E-3</v>
      </c>
      <c r="L18" s="205">
        <f t="shared" si="4"/>
        <v>6.8479999999999999E-3</v>
      </c>
      <c r="M18" s="199">
        <v>0.11</v>
      </c>
      <c r="N18" s="608">
        <v>5.5E-2</v>
      </c>
      <c r="O18" s="608">
        <v>0.105</v>
      </c>
      <c r="P18" s="608">
        <v>9.5000000000000001E-2</v>
      </c>
      <c r="Q18" s="608">
        <v>3.2000000000000001E-2</v>
      </c>
      <c r="R18" s="608">
        <v>3.3000000000000002E-2</v>
      </c>
      <c r="S18" s="279">
        <f t="shared" si="5"/>
        <v>0.32000000000000006</v>
      </c>
      <c r="T18" s="279">
        <f t="shared" si="1"/>
        <v>0.43000000000000005</v>
      </c>
      <c r="U18" s="205">
        <f t="shared" si="8"/>
        <v>1</v>
      </c>
      <c r="V18" s="223">
        <f>+S18/H18</f>
        <v>1.0000000000000002</v>
      </c>
      <c r="W18" s="207">
        <f t="shared" si="9"/>
        <v>2.1399999999999999E-2</v>
      </c>
      <c r="X18" s="207">
        <f t="shared" si="6"/>
        <v>2.1400000000000002E-2</v>
      </c>
      <c r="Y18" s="223">
        <f t="shared" si="10"/>
        <v>0.11</v>
      </c>
      <c r="Z18" s="266">
        <f t="shared" si="7"/>
        <v>0.43000000000000005</v>
      </c>
      <c r="AA18" s="266">
        <f t="shared" si="11"/>
        <v>2.3539999999999998E-3</v>
      </c>
      <c r="AB18" s="266">
        <f t="shared" si="12"/>
        <v>9.2020000000000001E-3</v>
      </c>
      <c r="AC18" s="636" t="s">
        <v>1850</v>
      </c>
      <c r="AD18" s="643" t="s">
        <v>1902</v>
      </c>
      <c r="AE18" s="637" t="s">
        <v>2276</v>
      </c>
      <c r="AF18" s="637" t="s">
        <v>2296</v>
      </c>
      <c r="AG18" s="637" t="s">
        <v>2413</v>
      </c>
      <c r="AH18" s="639" t="s">
        <v>1865</v>
      </c>
      <c r="AI18" s="637" t="s">
        <v>2567</v>
      </c>
    </row>
    <row r="19" spans="1:35" ht="120.6" customHeight="1" thickBot="1" x14ac:dyDescent="0.4">
      <c r="A19" s="184"/>
      <c r="B19" s="1032" t="s">
        <v>814</v>
      </c>
      <c r="C19" s="1241" t="s">
        <v>1274</v>
      </c>
      <c r="D19" s="260" t="s">
        <v>811</v>
      </c>
      <c r="E19" s="265">
        <v>2.1399999999999999E-2</v>
      </c>
      <c r="F19" s="262">
        <v>1</v>
      </c>
      <c r="G19" s="199">
        <v>0</v>
      </c>
      <c r="H19" s="199">
        <v>0</v>
      </c>
      <c r="I19" s="205"/>
      <c r="J19" s="205"/>
      <c r="K19" s="205"/>
      <c r="L19" s="205">
        <f t="shared" si="4"/>
        <v>0</v>
      </c>
      <c r="M19" s="199"/>
      <c r="N19" s="608"/>
      <c r="O19" s="608"/>
      <c r="P19" s="608"/>
      <c r="Q19" s="608"/>
      <c r="R19" s="608">
        <v>0.6</v>
      </c>
      <c r="S19" s="199">
        <f t="shared" si="5"/>
        <v>0.6</v>
      </c>
      <c r="T19" s="199">
        <f t="shared" si="1"/>
        <v>0.6</v>
      </c>
      <c r="U19" s="206"/>
      <c r="V19" s="223">
        <v>1</v>
      </c>
      <c r="W19" s="207"/>
      <c r="X19" s="207"/>
      <c r="Y19" s="223"/>
      <c r="Z19" s="266">
        <f t="shared" si="7"/>
        <v>0.6</v>
      </c>
      <c r="AA19" s="266">
        <v>0</v>
      </c>
      <c r="AB19" s="266">
        <f t="shared" si="12"/>
        <v>1.2839999999999999E-2</v>
      </c>
      <c r="AC19" s="636" t="s">
        <v>1850</v>
      </c>
      <c r="AD19" s="643" t="s">
        <v>1902</v>
      </c>
      <c r="AE19" s="637" t="s">
        <v>2276</v>
      </c>
      <c r="AF19" s="637" t="s">
        <v>2296</v>
      </c>
      <c r="AG19" s="637" t="s">
        <v>2413</v>
      </c>
      <c r="AH19" s="639" t="s">
        <v>1865</v>
      </c>
      <c r="AI19" s="1136" t="s">
        <v>2574</v>
      </c>
    </row>
    <row r="20" spans="1:35" ht="102" customHeight="1" thickBot="1" x14ac:dyDescent="0.4">
      <c r="A20" s="184"/>
      <c r="B20" s="1012" t="s">
        <v>815</v>
      </c>
      <c r="C20" s="1013" t="s">
        <v>1275</v>
      </c>
      <c r="D20" s="260" t="s">
        <v>560</v>
      </c>
      <c r="E20" s="265">
        <v>2.1399999999999999E-2</v>
      </c>
      <c r="F20" s="262">
        <v>4</v>
      </c>
      <c r="G20" s="199">
        <v>0</v>
      </c>
      <c r="H20" s="199">
        <v>1</v>
      </c>
      <c r="I20" s="205"/>
      <c r="J20" s="205">
        <f t="shared" si="2"/>
        <v>0.25</v>
      </c>
      <c r="K20" s="205"/>
      <c r="L20" s="205">
        <f t="shared" si="4"/>
        <v>5.3499999999999997E-3</v>
      </c>
      <c r="M20" s="199"/>
      <c r="N20" s="608">
        <v>0</v>
      </c>
      <c r="O20" s="608">
        <v>0.2</v>
      </c>
      <c r="P20" s="608">
        <v>0.5</v>
      </c>
      <c r="Q20" s="608"/>
      <c r="R20" s="608">
        <v>0.3</v>
      </c>
      <c r="S20" s="199">
        <f t="shared" si="5"/>
        <v>1</v>
      </c>
      <c r="T20" s="199">
        <f t="shared" si="1"/>
        <v>1</v>
      </c>
      <c r="U20" s="206"/>
      <c r="V20" s="223">
        <f>+S20/H20</f>
        <v>1</v>
      </c>
      <c r="W20" s="207"/>
      <c r="X20" s="207"/>
      <c r="Y20" s="223"/>
      <c r="Z20" s="266">
        <f>+T20/F20</f>
        <v>0.25</v>
      </c>
      <c r="AA20" s="266">
        <f>+Y20*E20</f>
        <v>0</v>
      </c>
      <c r="AB20" s="266">
        <f t="shared" si="12"/>
        <v>5.3499999999999997E-3</v>
      </c>
      <c r="AC20" s="636" t="s">
        <v>1850</v>
      </c>
      <c r="AD20" s="643" t="s">
        <v>1902</v>
      </c>
      <c r="AE20" s="637" t="s">
        <v>2276</v>
      </c>
      <c r="AF20" s="637" t="s">
        <v>2296</v>
      </c>
      <c r="AG20" s="766" t="s">
        <v>2381</v>
      </c>
      <c r="AH20" s="639" t="s">
        <v>1865</v>
      </c>
      <c r="AI20" s="637" t="s">
        <v>2567</v>
      </c>
    </row>
    <row r="21" spans="1:35" ht="87.6" customHeight="1" thickBot="1" x14ac:dyDescent="0.4">
      <c r="A21" s="184"/>
      <c r="B21" s="1012" t="s">
        <v>816</v>
      </c>
      <c r="C21" s="1013" t="s">
        <v>1276</v>
      </c>
      <c r="D21" s="260" t="s">
        <v>560</v>
      </c>
      <c r="E21" s="265">
        <v>2.1399999999999999E-2</v>
      </c>
      <c r="F21" s="262">
        <v>1</v>
      </c>
      <c r="G21" s="199">
        <v>0</v>
      </c>
      <c r="H21" s="199">
        <v>0.2</v>
      </c>
      <c r="I21" s="205">
        <v>0</v>
      </c>
      <c r="J21" s="205">
        <f t="shared" si="2"/>
        <v>0.2</v>
      </c>
      <c r="K21" s="205"/>
      <c r="L21" s="205">
        <f t="shared" si="4"/>
        <v>4.28E-3</v>
      </c>
      <c r="M21" s="199"/>
      <c r="N21" s="608">
        <v>0</v>
      </c>
      <c r="O21" s="608"/>
      <c r="P21" s="608"/>
      <c r="Q21" s="608"/>
      <c r="R21" s="608"/>
      <c r="S21" s="199">
        <f t="shared" si="5"/>
        <v>0</v>
      </c>
      <c r="T21" s="199">
        <f t="shared" si="1"/>
        <v>0</v>
      </c>
      <c r="U21" s="206"/>
      <c r="V21" s="223">
        <f>+S21/H21</f>
        <v>0</v>
      </c>
      <c r="W21" s="207"/>
      <c r="X21" s="207">
        <f>+V21*E21</f>
        <v>0</v>
      </c>
      <c r="Y21" s="223"/>
      <c r="Z21" s="266">
        <f>+T21/F21</f>
        <v>0</v>
      </c>
      <c r="AA21" s="266">
        <v>0</v>
      </c>
      <c r="AB21" s="266">
        <f t="shared" si="12"/>
        <v>0</v>
      </c>
      <c r="AC21" s="636" t="s">
        <v>1850</v>
      </c>
      <c r="AD21" s="719" t="s">
        <v>1920</v>
      </c>
      <c r="AE21" s="719" t="s">
        <v>2290</v>
      </c>
      <c r="AF21" s="637" t="s">
        <v>2296</v>
      </c>
      <c r="AG21" s="766" t="s">
        <v>2382</v>
      </c>
      <c r="AH21" s="639" t="s">
        <v>1865</v>
      </c>
      <c r="AI21" s="637" t="s">
        <v>2567</v>
      </c>
    </row>
    <row r="22" spans="1:35" ht="57" customHeight="1" thickBot="1" x14ac:dyDescent="0.4">
      <c r="A22" s="184"/>
      <c r="B22" s="1319" t="s">
        <v>1724</v>
      </c>
      <c r="C22" s="1333"/>
      <c r="D22" s="267"/>
      <c r="E22" s="268">
        <v>0.3</v>
      </c>
      <c r="F22" s="269"/>
      <c r="G22" s="192"/>
      <c r="H22" s="192"/>
      <c r="I22" s="198">
        <f>+AVERAGE(I23:I25)</f>
        <v>0.13108108108108107</v>
      </c>
      <c r="J22" s="198">
        <f>+AVERAGE(J23:J25)</f>
        <v>0.19009009009009006</v>
      </c>
      <c r="K22" s="198">
        <f>+K23+K24+K25</f>
        <v>8.4864864864864872E-2</v>
      </c>
      <c r="L22" s="198">
        <f>+L23+L24+L25</f>
        <v>0.16810810810810811</v>
      </c>
      <c r="M22" s="197"/>
      <c r="N22" s="197"/>
      <c r="O22" s="197"/>
      <c r="P22" s="197"/>
      <c r="Q22" s="197"/>
      <c r="R22" s="197"/>
      <c r="S22" s="199"/>
      <c r="T22" s="197"/>
      <c r="U22" s="221">
        <f>+AVERAGE(U23:U25)</f>
        <v>1</v>
      </c>
      <c r="V22" s="221">
        <f>+AVERAGE(V23:V25)</f>
        <v>1</v>
      </c>
      <c r="W22" s="221">
        <f>+(W23+W24+W25)*E22</f>
        <v>0.18000000000000002</v>
      </c>
      <c r="X22" s="221">
        <f>+(X23+X24+X25)*E22</f>
        <v>0.18000000000000002</v>
      </c>
      <c r="Y22" s="198">
        <f>+AVERAGE(Y23:Y25)</f>
        <v>0.24398286486486487</v>
      </c>
      <c r="Z22" s="198">
        <f>+(Z23*0.33)+(Z24*0.33)+(Z25*0.33)</f>
        <v>0.57089999999999996</v>
      </c>
      <c r="AA22" s="258">
        <f>+(AA23+AA24+AA25)*E22</f>
        <v>5.1055887567567564E-2</v>
      </c>
      <c r="AB22" s="258">
        <f>+(AB23+AB24+AB25)</f>
        <v>0.54600000000000004</v>
      </c>
      <c r="AC22" s="1106"/>
      <c r="AD22" s="602"/>
      <c r="AE22" s="602"/>
      <c r="AF22" s="602"/>
      <c r="AG22" s="602"/>
      <c r="AH22" s="602"/>
    </row>
    <row r="23" spans="1:35" ht="102.6" customHeight="1" thickBot="1" x14ac:dyDescent="0.4">
      <c r="A23" s="184"/>
      <c r="B23" s="1012" t="s">
        <v>817</v>
      </c>
      <c r="C23" s="1013" t="s">
        <v>1277</v>
      </c>
      <c r="D23" s="267" t="s">
        <v>1540</v>
      </c>
      <c r="E23" s="264">
        <v>0.4</v>
      </c>
      <c r="F23" s="262">
        <v>185000</v>
      </c>
      <c r="G23" s="199">
        <v>30000</v>
      </c>
      <c r="H23" s="199">
        <v>50000</v>
      </c>
      <c r="I23" s="205">
        <f>+G23/F23</f>
        <v>0.16216216216216217</v>
      </c>
      <c r="J23" s="205">
        <f t="shared" si="2"/>
        <v>0.27027027027027029</v>
      </c>
      <c r="K23" s="205">
        <f>+(G23/F23)*E23</f>
        <v>6.4864864864864868E-2</v>
      </c>
      <c r="L23" s="205">
        <f t="shared" si="4"/>
        <v>0.10810810810810811</v>
      </c>
      <c r="M23" s="199">
        <v>67148.66</v>
      </c>
      <c r="N23" s="608">
        <v>14768.91</v>
      </c>
      <c r="O23" s="608">
        <v>58387.23</v>
      </c>
      <c r="P23" s="608">
        <v>81238.960000000006</v>
      </c>
      <c r="Q23" s="608">
        <v>57428.480000000003</v>
      </c>
      <c r="R23" s="608">
        <v>0</v>
      </c>
      <c r="S23" s="199">
        <f t="shared" si="5"/>
        <v>211823.58000000002</v>
      </c>
      <c r="T23" s="199">
        <f>+S23+M23</f>
        <v>278972.24</v>
      </c>
      <c r="U23" s="223">
        <v>1</v>
      </c>
      <c r="V23" s="223">
        <v>1</v>
      </c>
      <c r="W23" s="223">
        <f>+U23*E23</f>
        <v>0.4</v>
      </c>
      <c r="X23" s="223">
        <f>+V23*E23</f>
        <v>0.4</v>
      </c>
      <c r="Y23" s="223">
        <f>+M23/F23</f>
        <v>0.36296572972972974</v>
      </c>
      <c r="Z23" s="266">
        <v>1</v>
      </c>
      <c r="AA23" s="266">
        <f>+Y23*E23</f>
        <v>0.14518629189189189</v>
      </c>
      <c r="AB23" s="266">
        <f>+Z23*E23</f>
        <v>0.4</v>
      </c>
      <c r="AC23" s="636" t="s">
        <v>1850</v>
      </c>
      <c r="AD23" s="637" t="s">
        <v>1893</v>
      </c>
      <c r="AE23" s="637" t="s">
        <v>2276</v>
      </c>
      <c r="AF23" s="637" t="s">
        <v>2296</v>
      </c>
      <c r="AG23" s="639" t="s">
        <v>2423</v>
      </c>
      <c r="AH23" s="637" t="s">
        <v>2448</v>
      </c>
      <c r="AI23" s="637" t="s">
        <v>2567</v>
      </c>
    </row>
    <row r="24" spans="1:35" ht="78" customHeight="1" thickBot="1" x14ac:dyDescent="0.4">
      <c r="A24" s="184"/>
      <c r="B24" s="1001" t="s">
        <v>819</v>
      </c>
      <c r="C24" s="1011" t="s">
        <v>1278</v>
      </c>
      <c r="D24" s="267" t="s">
        <v>1540</v>
      </c>
      <c r="E24" s="264">
        <v>0.4</v>
      </c>
      <c r="F24" s="262">
        <v>11000</v>
      </c>
      <c r="G24" s="199">
        <v>0</v>
      </c>
      <c r="H24" s="199">
        <v>0</v>
      </c>
      <c r="I24" s="205"/>
      <c r="J24" s="205">
        <f t="shared" si="2"/>
        <v>0</v>
      </c>
      <c r="K24" s="205"/>
      <c r="L24" s="205">
        <f t="shared" si="4"/>
        <v>0</v>
      </c>
      <c r="M24" s="199"/>
      <c r="N24" s="608"/>
      <c r="O24" s="608"/>
      <c r="P24" s="608"/>
      <c r="Q24" s="608"/>
      <c r="R24" s="608"/>
      <c r="S24" s="199">
        <f t="shared" si="5"/>
        <v>0</v>
      </c>
      <c r="T24" s="199">
        <f>+S24+M24</f>
        <v>0</v>
      </c>
      <c r="U24" s="223"/>
      <c r="V24" s="223"/>
      <c r="W24" s="223"/>
      <c r="X24" s="223">
        <f>+V24*E24</f>
        <v>0</v>
      </c>
      <c r="Y24" s="223"/>
      <c r="Z24" s="266">
        <f>+T24/F24</f>
        <v>0</v>
      </c>
      <c r="AA24" s="266"/>
      <c r="AB24" s="266">
        <f>+Z24*E24</f>
        <v>0</v>
      </c>
      <c r="AC24" s="636" t="s">
        <v>1850</v>
      </c>
      <c r="AD24" s="719" t="s">
        <v>1920</v>
      </c>
      <c r="AE24" s="637" t="s">
        <v>2276</v>
      </c>
      <c r="AF24" s="637" t="s">
        <v>2296</v>
      </c>
      <c r="AG24" s="607" t="s">
        <v>2375</v>
      </c>
      <c r="AH24" s="637" t="s">
        <v>2448</v>
      </c>
      <c r="AI24" s="637" t="s">
        <v>2567</v>
      </c>
    </row>
    <row r="25" spans="1:35" ht="88.95" customHeight="1" thickBot="1" x14ac:dyDescent="0.4">
      <c r="A25" s="184"/>
      <c r="B25" s="1012" t="s">
        <v>820</v>
      </c>
      <c r="C25" s="1013" t="s">
        <v>1279</v>
      </c>
      <c r="D25" s="267" t="s">
        <v>1540</v>
      </c>
      <c r="E25" s="264">
        <v>0.2</v>
      </c>
      <c r="F25" s="262">
        <v>200</v>
      </c>
      <c r="G25" s="199">
        <v>20</v>
      </c>
      <c r="H25" s="199">
        <v>60</v>
      </c>
      <c r="I25" s="205">
        <f>+G25/F25</f>
        <v>0.1</v>
      </c>
      <c r="J25" s="205">
        <f t="shared" si="2"/>
        <v>0.3</v>
      </c>
      <c r="K25" s="205">
        <f>+(G25/F25)*E25</f>
        <v>2.0000000000000004E-2</v>
      </c>
      <c r="L25" s="205">
        <f t="shared" si="4"/>
        <v>0.06</v>
      </c>
      <c r="M25" s="199">
        <v>25</v>
      </c>
      <c r="N25" s="608">
        <v>0</v>
      </c>
      <c r="O25" s="608">
        <v>55</v>
      </c>
      <c r="P25" s="608">
        <v>60</v>
      </c>
      <c r="Q25" s="608">
        <v>6</v>
      </c>
      <c r="R25" s="608">
        <v>0</v>
      </c>
      <c r="S25" s="199">
        <f t="shared" si="5"/>
        <v>121</v>
      </c>
      <c r="T25" s="199">
        <f>+S25+M25</f>
        <v>146</v>
      </c>
      <c r="U25" s="223">
        <v>1</v>
      </c>
      <c r="V25" s="223">
        <v>1</v>
      </c>
      <c r="W25" s="223">
        <f>+U25*E25</f>
        <v>0.2</v>
      </c>
      <c r="X25" s="223">
        <f>+V25*E25</f>
        <v>0.2</v>
      </c>
      <c r="Y25" s="223">
        <f>+M25/F25</f>
        <v>0.125</v>
      </c>
      <c r="Z25" s="266">
        <f>+T25/F25</f>
        <v>0.73</v>
      </c>
      <c r="AA25" s="266">
        <f>+Y25*E25</f>
        <v>2.5000000000000001E-2</v>
      </c>
      <c r="AB25" s="266">
        <f>+Z25*E25</f>
        <v>0.14599999999999999</v>
      </c>
      <c r="AC25" s="636" t="s">
        <v>1850</v>
      </c>
      <c r="AD25" s="637" t="s">
        <v>1893</v>
      </c>
      <c r="AE25" s="637" t="s">
        <v>2276</v>
      </c>
      <c r="AF25" s="637" t="s">
        <v>2296</v>
      </c>
      <c r="AG25" s="639" t="s">
        <v>2423</v>
      </c>
      <c r="AH25" s="637" t="s">
        <v>2448</v>
      </c>
      <c r="AI25" s="637" t="s">
        <v>2567</v>
      </c>
    </row>
    <row r="26" spans="1:35" ht="62.25" customHeight="1" thickBot="1" x14ac:dyDescent="0.4">
      <c r="A26" s="184"/>
      <c r="B26" s="1323" t="s">
        <v>1804</v>
      </c>
      <c r="C26" s="1333"/>
      <c r="D26" s="267"/>
      <c r="E26" s="270">
        <v>0.05</v>
      </c>
      <c r="F26" s="187">
        <f>+E26*W26</f>
        <v>3.4375000000000003E-2</v>
      </c>
      <c r="G26" s="192"/>
      <c r="H26" s="188">
        <f>+E26*X26</f>
        <v>1.3000000000000001E-2</v>
      </c>
      <c r="I26" s="190">
        <f>+(I27+I33)/2</f>
        <v>0.15714285714285714</v>
      </c>
      <c r="J26" s="190">
        <f>+(J27+J33)/2</f>
        <v>0.12238095238095237</v>
      </c>
      <c r="K26" s="191">
        <f>+(K27+K33)/2</f>
        <v>0.24285714285714285</v>
      </c>
      <c r="L26" s="191">
        <f>+(L27+L33)/2</f>
        <v>0.20867857142857144</v>
      </c>
      <c r="M26" s="192"/>
      <c r="N26" s="192"/>
      <c r="O26" s="192"/>
      <c r="P26" s="192"/>
      <c r="Q26" s="192"/>
      <c r="R26" s="192"/>
      <c r="S26" s="1181"/>
      <c r="T26" s="192"/>
      <c r="U26" s="190">
        <f>+(U27+U33)/2</f>
        <v>1</v>
      </c>
      <c r="V26" s="190">
        <f>+(V27+V33)/2</f>
        <v>0.85</v>
      </c>
      <c r="W26" s="191">
        <f>+W27+W33</f>
        <v>0.6875</v>
      </c>
      <c r="X26" s="191">
        <f>+X27+X33</f>
        <v>0.26</v>
      </c>
      <c r="Y26" s="190">
        <f>(Y27+Y33)/2</f>
        <v>0.16672619047619047</v>
      </c>
      <c r="Z26" s="190">
        <f>(Z27+Z33)/2</f>
        <v>0.40500089285714286</v>
      </c>
      <c r="AA26" s="256">
        <f>+AA27+AA33</f>
        <v>0.31105357142857143</v>
      </c>
      <c r="AB26" s="256">
        <f>+AB27*E27+AB33*E33</f>
        <v>0.4337455357142857</v>
      </c>
      <c r="AC26" s="1105"/>
      <c r="AD26" s="602"/>
      <c r="AE26" s="602"/>
      <c r="AF26" s="602"/>
      <c r="AG26" s="602"/>
      <c r="AH26" s="602"/>
    </row>
    <row r="27" spans="1:35" ht="86.25" customHeight="1" thickBot="1" x14ac:dyDescent="0.4">
      <c r="A27" s="184"/>
      <c r="B27" s="1319" t="s">
        <v>1725</v>
      </c>
      <c r="C27" s="1333"/>
      <c r="D27" s="267"/>
      <c r="E27" s="268">
        <v>0.75</v>
      </c>
      <c r="F27" s="262"/>
      <c r="G27" s="192"/>
      <c r="H27" s="192"/>
      <c r="I27" s="198">
        <f>+AVERAGE(I28:I32)*0.2</f>
        <v>0.1</v>
      </c>
      <c r="J27" s="198">
        <f>+AVERAGE(J28:J32)*0.2</f>
        <v>6.9999999999999993E-2</v>
      </c>
      <c r="K27" s="198">
        <f>+K28+K29+K30+K31+K32</f>
        <v>0.375</v>
      </c>
      <c r="L27" s="198">
        <f>+L28+L29+L30+L31+L32</f>
        <v>0.28749999999999998</v>
      </c>
      <c r="M27" s="197"/>
      <c r="N27" s="197"/>
      <c r="O27" s="197"/>
      <c r="P27" s="197"/>
      <c r="Q27" s="197"/>
      <c r="R27" s="197"/>
      <c r="S27" s="199"/>
      <c r="T27" s="197"/>
      <c r="U27" s="221">
        <f>+AVERAGE(U28:U32)</f>
        <v>1</v>
      </c>
      <c r="V27" s="221">
        <f>+AVERAGE(V28:V32)</f>
        <v>0.7</v>
      </c>
      <c r="W27" s="221">
        <f>+(W28+W29+W30+W31+W32)*E27</f>
        <v>0.5625</v>
      </c>
      <c r="X27" s="221">
        <f>+(X28+X29+X30+X31+X32)*E27</f>
        <v>0.13500000000000001</v>
      </c>
      <c r="Y27" s="198">
        <f>+AVERAGE(Y28:Y32)*0.2</f>
        <v>0.1</v>
      </c>
      <c r="Z27" s="198">
        <f>+AVERAGE(Z28:Z32)</f>
        <v>0.38</v>
      </c>
      <c r="AA27" s="258">
        <f>+(AA28+AA29+AA30+AA31+AA32)*E27</f>
        <v>0.28125</v>
      </c>
      <c r="AB27" s="258">
        <f>+(AB28+AB29+AB30+AB31+AB32)</f>
        <v>0.46499999999999997</v>
      </c>
      <c r="AC27" s="1106"/>
      <c r="AD27" s="602"/>
      <c r="AE27" s="602"/>
      <c r="AF27" s="602"/>
      <c r="AG27" s="602"/>
      <c r="AH27" s="602"/>
    </row>
    <row r="28" spans="1:35" ht="94.95" customHeight="1" thickBot="1" x14ac:dyDescent="0.4">
      <c r="A28" s="184"/>
      <c r="B28" s="1001" t="s">
        <v>821</v>
      </c>
      <c r="C28" s="1011" t="s">
        <v>1280</v>
      </c>
      <c r="D28" s="260" t="s">
        <v>560</v>
      </c>
      <c r="E28" s="264">
        <v>0.1</v>
      </c>
      <c r="F28" s="262">
        <v>1</v>
      </c>
      <c r="G28" s="199">
        <v>0</v>
      </c>
      <c r="H28" s="199">
        <v>0.5</v>
      </c>
      <c r="I28" s="205"/>
      <c r="J28" s="205">
        <f t="shared" ref="J28:J32" si="13">+H28/F28</f>
        <v>0.5</v>
      </c>
      <c r="K28" s="205"/>
      <c r="L28" s="205">
        <f t="shared" ref="L28:L32" si="14">+(H28/F28)*E28</f>
        <v>0.05</v>
      </c>
      <c r="M28" s="199"/>
      <c r="N28" s="608">
        <v>0</v>
      </c>
      <c r="O28" s="608">
        <v>0.1</v>
      </c>
      <c r="P28" s="608">
        <v>0.05</v>
      </c>
      <c r="Q28" s="608">
        <v>0.1</v>
      </c>
      <c r="R28" s="608">
        <v>0.15</v>
      </c>
      <c r="S28" s="199">
        <f t="shared" si="5"/>
        <v>0.4</v>
      </c>
      <c r="T28" s="199">
        <f>+S28+M28</f>
        <v>0.4</v>
      </c>
      <c r="U28" s="223"/>
      <c r="V28" s="223">
        <f>+S28/H28</f>
        <v>0.8</v>
      </c>
      <c r="W28" s="223"/>
      <c r="X28" s="223">
        <f>+V28*E28</f>
        <v>8.0000000000000016E-2</v>
      </c>
      <c r="Y28" s="223"/>
      <c r="Z28" s="266">
        <f>+T28/F28</f>
        <v>0.4</v>
      </c>
      <c r="AA28" s="289">
        <v>0</v>
      </c>
      <c r="AB28" s="289">
        <f>+Z28*E28</f>
        <v>4.0000000000000008E-2</v>
      </c>
      <c r="AC28" s="636" t="s">
        <v>1850</v>
      </c>
      <c r="AD28" s="719" t="s">
        <v>1920</v>
      </c>
      <c r="AE28" s="719" t="s">
        <v>2286</v>
      </c>
      <c r="AF28" s="637" t="s">
        <v>2296</v>
      </c>
      <c r="AG28" s="766" t="s">
        <v>2381</v>
      </c>
      <c r="AH28" s="637" t="s">
        <v>2448</v>
      </c>
      <c r="AI28" s="637" t="s">
        <v>2567</v>
      </c>
    </row>
    <row r="29" spans="1:35" ht="105.6" customHeight="1" thickBot="1" x14ac:dyDescent="0.4">
      <c r="A29" s="184"/>
      <c r="B29" s="1001" t="s">
        <v>822</v>
      </c>
      <c r="C29" s="1011" t="s">
        <v>1281</v>
      </c>
      <c r="D29" s="260" t="s">
        <v>560</v>
      </c>
      <c r="E29" s="264">
        <v>0.05</v>
      </c>
      <c r="F29" s="262">
        <v>2</v>
      </c>
      <c r="G29" s="199">
        <v>0</v>
      </c>
      <c r="H29" s="199">
        <v>1</v>
      </c>
      <c r="I29" s="205"/>
      <c r="J29" s="205">
        <f t="shared" si="13"/>
        <v>0.5</v>
      </c>
      <c r="K29" s="205"/>
      <c r="L29" s="205">
        <f t="shared" si="14"/>
        <v>2.5000000000000001E-2</v>
      </c>
      <c r="M29" s="199"/>
      <c r="N29" s="608">
        <v>0</v>
      </c>
      <c r="O29" s="608">
        <v>1</v>
      </c>
      <c r="P29" s="608">
        <v>0</v>
      </c>
      <c r="Q29" s="608">
        <v>0</v>
      </c>
      <c r="R29" s="608">
        <v>0</v>
      </c>
      <c r="S29" s="199">
        <f t="shared" si="5"/>
        <v>1</v>
      </c>
      <c r="T29" s="199">
        <f>+S29+M29</f>
        <v>1</v>
      </c>
      <c r="U29" s="223"/>
      <c r="V29" s="223">
        <f>+S29/H29</f>
        <v>1</v>
      </c>
      <c r="W29" s="223"/>
      <c r="X29" s="223">
        <f>+V29*E29</f>
        <v>0.05</v>
      </c>
      <c r="Y29" s="223"/>
      <c r="Z29" s="266">
        <f>+T29/F29</f>
        <v>0.5</v>
      </c>
      <c r="AA29" s="289">
        <v>0</v>
      </c>
      <c r="AB29" s="289">
        <f>+Z29*E29</f>
        <v>2.5000000000000001E-2</v>
      </c>
      <c r="AC29" s="636" t="s">
        <v>1850</v>
      </c>
      <c r="AD29" s="719" t="s">
        <v>1920</v>
      </c>
      <c r="AE29" s="719" t="s">
        <v>2287</v>
      </c>
      <c r="AF29" s="637" t="s">
        <v>2296</v>
      </c>
      <c r="AG29" s="766" t="s">
        <v>2381</v>
      </c>
      <c r="AH29" s="637" t="s">
        <v>2448</v>
      </c>
      <c r="AI29" s="637" t="s">
        <v>2567</v>
      </c>
    </row>
    <row r="30" spans="1:35" ht="81.599999999999994" customHeight="1" thickBot="1" x14ac:dyDescent="0.4">
      <c r="A30" s="184"/>
      <c r="B30" s="1001" t="s">
        <v>823</v>
      </c>
      <c r="C30" s="1011" t="s">
        <v>1282</v>
      </c>
      <c r="D30" s="260" t="s">
        <v>560</v>
      </c>
      <c r="E30" s="264">
        <v>0.05</v>
      </c>
      <c r="F30" s="262">
        <v>1</v>
      </c>
      <c r="G30" s="199">
        <v>0</v>
      </c>
      <c r="H30" s="199">
        <v>0.5</v>
      </c>
      <c r="I30" s="205"/>
      <c r="J30" s="205">
        <f t="shared" si="13"/>
        <v>0.5</v>
      </c>
      <c r="K30" s="205"/>
      <c r="L30" s="205">
        <f t="shared" si="14"/>
        <v>2.5000000000000001E-2</v>
      </c>
      <c r="M30" s="199"/>
      <c r="N30" s="608">
        <v>0</v>
      </c>
      <c r="O30" s="608">
        <v>0.1</v>
      </c>
      <c r="P30" s="608">
        <v>0</v>
      </c>
      <c r="Q30" s="608">
        <v>0.4</v>
      </c>
      <c r="R30" s="608">
        <v>0</v>
      </c>
      <c r="S30" s="199">
        <f t="shared" si="5"/>
        <v>0.5</v>
      </c>
      <c r="T30" s="199">
        <f>+S30+M30</f>
        <v>0.5</v>
      </c>
      <c r="U30" s="223"/>
      <c r="V30" s="223">
        <f>+S30/H30</f>
        <v>1</v>
      </c>
      <c r="W30" s="223"/>
      <c r="X30" s="223">
        <f>+V30*E30</f>
        <v>0.05</v>
      </c>
      <c r="Y30" s="223"/>
      <c r="Z30" s="266">
        <f>+T30/F30</f>
        <v>0.5</v>
      </c>
      <c r="AA30" s="289">
        <v>0</v>
      </c>
      <c r="AB30" s="289">
        <f>+Z30*E30</f>
        <v>2.5000000000000001E-2</v>
      </c>
      <c r="AC30" s="636" t="s">
        <v>1850</v>
      </c>
      <c r="AD30" s="719" t="s">
        <v>1920</v>
      </c>
      <c r="AE30" s="719" t="s">
        <v>2288</v>
      </c>
      <c r="AF30" s="637" t="s">
        <v>2296</v>
      </c>
      <c r="AG30" s="766" t="s">
        <v>2381</v>
      </c>
      <c r="AH30" s="637" t="s">
        <v>2448</v>
      </c>
      <c r="AI30" s="637" t="s">
        <v>2567</v>
      </c>
    </row>
    <row r="31" spans="1:35" ht="92.4" customHeight="1" thickBot="1" x14ac:dyDescent="0.4">
      <c r="A31" s="184"/>
      <c r="B31" s="1001" t="s">
        <v>824</v>
      </c>
      <c r="C31" s="1011" t="s">
        <v>1283</v>
      </c>
      <c r="D31" s="260" t="s">
        <v>825</v>
      </c>
      <c r="E31" s="264">
        <v>0.75</v>
      </c>
      <c r="F31" s="262">
        <v>8</v>
      </c>
      <c r="G31" s="199">
        <v>4</v>
      </c>
      <c r="H31" s="199">
        <v>2</v>
      </c>
      <c r="I31" s="205">
        <f>+G31/F31</f>
        <v>0.5</v>
      </c>
      <c r="J31" s="205">
        <f t="shared" si="13"/>
        <v>0.25</v>
      </c>
      <c r="K31" s="205">
        <f>+(G31/F31)*E31</f>
        <v>0.375</v>
      </c>
      <c r="L31" s="205">
        <f t="shared" si="14"/>
        <v>0.1875</v>
      </c>
      <c r="M31" s="199">
        <v>4</v>
      </c>
      <c r="N31" s="608">
        <v>0</v>
      </c>
      <c r="O31" s="608">
        <v>0</v>
      </c>
      <c r="P31" s="608">
        <v>0</v>
      </c>
      <c r="Q31" s="608">
        <v>0</v>
      </c>
      <c r="R31" s="608">
        <v>0</v>
      </c>
      <c r="S31" s="199">
        <f t="shared" si="5"/>
        <v>0</v>
      </c>
      <c r="T31" s="199">
        <f>+S31+M31</f>
        <v>4</v>
      </c>
      <c r="U31" s="223">
        <v>1</v>
      </c>
      <c r="V31" s="223">
        <f>+S31/H31</f>
        <v>0</v>
      </c>
      <c r="W31" s="223">
        <f>+U31*E31</f>
        <v>0.75</v>
      </c>
      <c r="X31" s="223">
        <f>+V31*E31</f>
        <v>0</v>
      </c>
      <c r="Y31" s="223">
        <f>+M31/F31</f>
        <v>0.5</v>
      </c>
      <c r="Z31" s="266">
        <f>+T31/F31</f>
        <v>0.5</v>
      </c>
      <c r="AA31" s="289">
        <f>+Y31*E31</f>
        <v>0.375</v>
      </c>
      <c r="AB31" s="289">
        <f>+Z31*E31</f>
        <v>0.375</v>
      </c>
      <c r="AC31" s="636" t="s">
        <v>1850</v>
      </c>
      <c r="AD31" s="637" t="s">
        <v>1893</v>
      </c>
      <c r="AE31" s="637" t="s">
        <v>2276</v>
      </c>
      <c r="AF31" s="637" t="s">
        <v>2296</v>
      </c>
      <c r="AG31" s="642" t="s">
        <v>2413</v>
      </c>
      <c r="AH31" s="637" t="s">
        <v>2448</v>
      </c>
      <c r="AI31" s="637" t="s">
        <v>2567</v>
      </c>
    </row>
    <row r="32" spans="1:35" ht="97.95" customHeight="1" thickBot="1" x14ac:dyDescent="0.4">
      <c r="A32" s="184"/>
      <c r="B32" s="930" t="s">
        <v>826</v>
      </c>
      <c r="C32" s="931" t="s">
        <v>1284</v>
      </c>
      <c r="D32" s="260" t="s">
        <v>560</v>
      </c>
      <c r="E32" s="264">
        <v>0.05</v>
      </c>
      <c r="F32" s="262">
        <v>1</v>
      </c>
      <c r="G32" s="199">
        <v>0</v>
      </c>
      <c r="H32" s="199">
        <v>0</v>
      </c>
      <c r="I32" s="205"/>
      <c r="J32" s="205">
        <f t="shared" si="13"/>
        <v>0</v>
      </c>
      <c r="K32" s="205"/>
      <c r="L32" s="205">
        <f t="shared" si="14"/>
        <v>0</v>
      </c>
      <c r="M32" s="199"/>
      <c r="N32" s="608"/>
      <c r="O32" s="199"/>
      <c r="P32" s="199"/>
      <c r="Q32" s="199"/>
      <c r="R32" s="199"/>
      <c r="S32" s="199">
        <f t="shared" si="5"/>
        <v>0</v>
      </c>
      <c r="T32" s="199">
        <f>+S32+M32</f>
        <v>0</v>
      </c>
      <c r="U32" s="223"/>
      <c r="V32" s="223"/>
      <c r="W32" s="223"/>
      <c r="X32" s="223"/>
      <c r="Y32" s="223"/>
      <c r="Z32" s="266">
        <v>0</v>
      </c>
      <c r="AA32" s="289">
        <v>0</v>
      </c>
      <c r="AB32" s="289">
        <f>+Z32*E32</f>
        <v>0</v>
      </c>
      <c r="AC32" s="636" t="s">
        <v>1850</v>
      </c>
      <c r="AD32" s="607" t="s">
        <v>1903</v>
      </c>
      <c r="AE32" s="637" t="s">
        <v>2276</v>
      </c>
      <c r="AF32" s="607" t="s">
        <v>1903</v>
      </c>
      <c r="AG32" s="607" t="s">
        <v>1903</v>
      </c>
      <c r="AH32" s="639" t="s">
        <v>1865</v>
      </c>
    </row>
    <row r="33" spans="1:35" ht="70.95" customHeight="1" thickBot="1" x14ac:dyDescent="0.4">
      <c r="A33" s="184"/>
      <c r="B33" s="1319" t="s">
        <v>1726</v>
      </c>
      <c r="C33" s="1333"/>
      <c r="D33" s="267"/>
      <c r="E33" s="268">
        <v>0.25</v>
      </c>
      <c r="F33" s="262"/>
      <c r="G33" s="192"/>
      <c r="H33" s="192"/>
      <c r="I33" s="198">
        <f>+AVERAGE(I34:I36)</f>
        <v>0.2142857142857143</v>
      </c>
      <c r="J33" s="198">
        <f>+AVERAGE(J34:J36)</f>
        <v>0.17476190476190476</v>
      </c>
      <c r="K33" s="198">
        <f>+K34+K35+K36</f>
        <v>0.11071428571428571</v>
      </c>
      <c r="L33" s="198">
        <f>+L34+L35+L36</f>
        <v>0.12985714285714287</v>
      </c>
      <c r="M33" s="197"/>
      <c r="N33" s="197"/>
      <c r="O33" s="197"/>
      <c r="P33" s="197"/>
      <c r="Q33" s="197"/>
      <c r="R33" s="197"/>
      <c r="S33" s="199"/>
      <c r="T33" s="197"/>
      <c r="U33" s="221">
        <f>+AVERAGE(U34:U36)</f>
        <v>1</v>
      </c>
      <c r="V33" s="221">
        <f>+AVERAGE(V34:V36)</f>
        <v>1</v>
      </c>
      <c r="W33" s="221">
        <f>+(W34+W35+W36)*E33</f>
        <v>0.125</v>
      </c>
      <c r="X33" s="221">
        <f>+(X34+X35+X36)*E33</f>
        <v>0.125</v>
      </c>
      <c r="Y33" s="198">
        <f>+AVERAGE(Y34:Y36)</f>
        <v>0.23345238095238097</v>
      </c>
      <c r="Z33" s="198">
        <f>+(Z34*0.33)+(Z36*0.33)</f>
        <v>0.43000178571428571</v>
      </c>
      <c r="AA33" s="258">
        <f>+(AA34+AA35+AA36)*E33</f>
        <v>2.9803571428571429E-2</v>
      </c>
      <c r="AB33" s="258">
        <f>+(AB34+AB35+AB36)</f>
        <v>0.33998214285714284</v>
      </c>
      <c r="AC33" s="1106"/>
      <c r="AD33" s="602"/>
      <c r="AE33" s="602"/>
      <c r="AF33" s="602"/>
      <c r="AG33" s="602"/>
      <c r="AH33" s="602"/>
    </row>
    <row r="34" spans="1:35" ht="87.6" customHeight="1" thickBot="1" x14ac:dyDescent="0.4">
      <c r="A34" s="184"/>
      <c r="B34" s="1012" t="s">
        <v>827</v>
      </c>
      <c r="C34" s="1013" t="s">
        <v>1285</v>
      </c>
      <c r="D34" s="260" t="s">
        <v>560</v>
      </c>
      <c r="E34" s="264">
        <v>0.2</v>
      </c>
      <c r="F34" s="262">
        <v>2800</v>
      </c>
      <c r="G34" s="199">
        <v>500</v>
      </c>
      <c r="H34" s="199">
        <v>768</v>
      </c>
      <c r="I34" s="205">
        <f>+G34/F34</f>
        <v>0.17857142857142858</v>
      </c>
      <c r="J34" s="205">
        <f t="shared" ref="J34:J36" si="15">+H34/F34</f>
        <v>0.2742857142857143</v>
      </c>
      <c r="K34" s="205">
        <f>+(G34/F34)*E34</f>
        <v>3.5714285714285719E-2</v>
      </c>
      <c r="L34" s="205">
        <f t="shared" ref="L34:L36" si="16">+(H34/F34)*E34</f>
        <v>5.4857142857142861E-2</v>
      </c>
      <c r="M34" s="272">
        <v>584</v>
      </c>
      <c r="N34" s="608">
        <v>67</v>
      </c>
      <c r="O34" s="608">
        <v>318</v>
      </c>
      <c r="P34" s="608">
        <v>316</v>
      </c>
      <c r="Q34" s="608">
        <v>141</v>
      </c>
      <c r="R34" s="608">
        <v>0</v>
      </c>
      <c r="S34" s="272">
        <f t="shared" si="5"/>
        <v>842</v>
      </c>
      <c r="T34" s="272">
        <f>+S34+M34</f>
        <v>1426</v>
      </c>
      <c r="U34" s="223">
        <v>1</v>
      </c>
      <c r="V34" s="223">
        <v>1</v>
      </c>
      <c r="W34" s="223">
        <f>+U34*E34</f>
        <v>0.2</v>
      </c>
      <c r="X34" s="223">
        <f>+V34*E34</f>
        <v>0.2</v>
      </c>
      <c r="Y34" s="223">
        <f>+M34/F34</f>
        <v>0.20857142857142857</v>
      </c>
      <c r="Z34" s="266">
        <f>+T34/F34</f>
        <v>0.50928571428571423</v>
      </c>
      <c r="AA34" s="266">
        <f>+Y34*E34</f>
        <v>4.1714285714285718E-2</v>
      </c>
      <c r="AB34" s="266">
        <f>+Z34*E34</f>
        <v>0.10185714285714285</v>
      </c>
      <c r="AC34" s="636" t="s">
        <v>1850</v>
      </c>
      <c r="AD34" s="637" t="s">
        <v>1893</v>
      </c>
      <c r="AE34" s="637" t="s">
        <v>2276</v>
      </c>
      <c r="AF34" s="637" t="s">
        <v>2296</v>
      </c>
      <c r="AG34" s="642" t="s">
        <v>2413</v>
      </c>
      <c r="AH34" s="637" t="s">
        <v>2448</v>
      </c>
      <c r="AI34" s="637" t="s">
        <v>2567</v>
      </c>
    </row>
    <row r="35" spans="1:35" ht="98.4" customHeight="1" thickBot="1" x14ac:dyDescent="0.4">
      <c r="A35" s="184"/>
      <c r="B35" s="1001" t="s">
        <v>828</v>
      </c>
      <c r="C35" s="1011" t="s">
        <v>1286</v>
      </c>
      <c r="D35" s="260" t="s">
        <v>560</v>
      </c>
      <c r="E35" s="264">
        <v>0.5</v>
      </c>
      <c r="F35" s="262">
        <v>6</v>
      </c>
      <c r="G35" s="199">
        <v>0</v>
      </c>
      <c r="H35" s="199">
        <v>0</v>
      </c>
      <c r="I35" s="205"/>
      <c r="J35" s="205">
        <f t="shared" si="15"/>
        <v>0</v>
      </c>
      <c r="K35" s="205"/>
      <c r="L35" s="205">
        <f t="shared" si="16"/>
        <v>0</v>
      </c>
      <c r="M35" s="199"/>
      <c r="N35" s="608">
        <v>0</v>
      </c>
      <c r="O35" s="608"/>
      <c r="P35" s="608"/>
      <c r="Q35" s="608"/>
      <c r="R35" s="608"/>
      <c r="S35" s="199">
        <f t="shared" si="5"/>
        <v>0</v>
      </c>
      <c r="T35" s="199">
        <f>+S35+M35</f>
        <v>0</v>
      </c>
      <c r="U35" s="223"/>
      <c r="V35" s="223"/>
      <c r="W35" s="223"/>
      <c r="X35" s="223">
        <f>+V35*E35</f>
        <v>0</v>
      </c>
      <c r="Y35" s="223"/>
      <c r="Z35" s="266"/>
      <c r="AA35" s="266">
        <v>0</v>
      </c>
      <c r="AB35" s="266">
        <f>+Z35*E35</f>
        <v>0</v>
      </c>
      <c r="AC35" s="636" t="s">
        <v>1850</v>
      </c>
      <c r="AD35" s="719" t="s">
        <v>1920</v>
      </c>
      <c r="AE35" s="719" t="s">
        <v>2289</v>
      </c>
      <c r="AF35" s="637" t="s">
        <v>2296</v>
      </c>
      <c r="AG35" s="607" t="s">
        <v>2381</v>
      </c>
      <c r="AH35" s="637" t="s">
        <v>2448</v>
      </c>
      <c r="AI35" s="637" t="s">
        <v>2567</v>
      </c>
    </row>
    <row r="36" spans="1:35" ht="75" customHeight="1" thickBot="1" x14ac:dyDescent="0.4">
      <c r="A36" s="184"/>
      <c r="B36" s="1001" t="s">
        <v>829</v>
      </c>
      <c r="C36" s="1011" t="s">
        <v>1287</v>
      </c>
      <c r="D36" s="260" t="s">
        <v>560</v>
      </c>
      <c r="E36" s="264">
        <v>0.3</v>
      </c>
      <c r="F36" s="262">
        <v>2400</v>
      </c>
      <c r="G36" s="199">
        <v>600</v>
      </c>
      <c r="H36" s="199">
        <v>600</v>
      </c>
      <c r="I36" s="205">
        <f>+G36/F36</f>
        <v>0.25</v>
      </c>
      <c r="J36" s="205">
        <f t="shared" si="15"/>
        <v>0.25</v>
      </c>
      <c r="K36" s="205">
        <f>+(G36/F36)*E36</f>
        <v>7.4999999999999997E-2</v>
      </c>
      <c r="L36" s="205">
        <f t="shared" si="16"/>
        <v>7.4999999999999997E-2</v>
      </c>
      <c r="M36" s="272">
        <v>620</v>
      </c>
      <c r="N36" s="608">
        <v>270</v>
      </c>
      <c r="O36" s="608">
        <v>97</v>
      </c>
      <c r="P36" s="608">
        <v>454</v>
      </c>
      <c r="Q36" s="272">
        <v>220</v>
      </c>
      <c r="R36" s="272">
        <v>244</v>
      </c>
      <c r="S36" s="272">
        <f t="shared" si="5"/>
        <v>1285</v>
      </c>
      <c r="T36" s="272">
        <f>+S36+M36</f>
        <v>1905</v>
      </c>
      <c r="U36" s="223">
        <v>1</v>
      </c>
      <c r="V36" s="223">
        <v>1</v>
      </c>
      <c r="W36" s="223">
        <f>+U36*E36</f>
        <v>0.3</v>
      </c>
      <c r="X36" s="223">
        <f>+V36*E36</f>
        <v>0.3</v>
      </c>
      <c r="Y36" s="223">
        <f>+M36/F36</f>
        <v>0.25833333333333336</v>
      </c>
      <c r="Z36" s="266">
        <f>+T36/F36</f>
        <v>0.79374999999999996</v>
      </c>
      <c r="AA36" s="266">
        <f>+Y36*E36</f>
        <v>7.7499999999999999E-2</v>
      </c>
      <c r="AB36" s="266">
        <f>+Z36*E36</f>
        <v>0.23812499999999998</v>
      </c>
      <c r="AC36" s="636" t="s">
        <v>1850</v>
      </c>
      <c r="AD36" s="637" t="s">
        <v>1893</v>
      </c>
      <c r="AE36" s="637" t="s">
        <v>2276</v>
      </c>
      <c r="AF36" s="637" t="s">
        <v>2296</v>
      </c>
      <c r="AG36" s="642" t="s">
        <v>2413</v>
      </c>
      <c r="AH36" s="637" t="s">
        <v>2448</v>
      </c>
      <c r="AI36" s="637" t="s">
        <v>2567</v>
      </c>
    </row>
    <row r="37" spans="1:35" ht="61.2" customHeight="1" thickBot="1" x14ac:dyDescent="0.4">
      <c r="A37" s="184"/>
      <c r="B37" s="1323" t="s">
        <v>1805</v>
      </c>
      <c r="C37" s="1333"/>
      <c r="D37" s="267"/>
      <c r="E37" s="270">
        <v>0.15</v>
      </c>
      <c r="F37" s="187">
        <f>+E37*W37</f>
        <v>6.8925749999999994E-2</v>
      </c>
      <c r="G37" s="192"/>
      <c r="H37" s="188">
        <f>+E37*X37</f>
        <v>6.6137041443108238E-2</v>
      </c>
      <c r="I37" s="190">
        <f>+(I38+I46+I50+I53+I57)/5</f>
        <v>0.17888888888888888</v>
      </c>
      <c r="J37" s="190">
        <f>+(J38+J46+J50+J53+J57)/5</f>
        <v>0.28274305555555557</v>
      </c>
      <c r="K37" s="191">
        <f>+(K38+K46+K50+K53+K57)/5</f>
        <v>0.13083333333333333</v>
      </c>
      <c r="L37" s="191">
        <f>+(L38+L46+L50+L53+L57)/5</f>
        <v>0.19008333333333333</v>
      </c>
      <c r="M37" s="192"/>
      <c r="N37" s="192"/>
      <c r="O37" s="192"/>
      <c r="P37" s="192"/>
      <c r="Q37" s="192"/>
      <c r="R37" s="192"/>
      <c r="S37" s="1181"/>
      <c r="T37" s="192"/>
      <c r="U37" s="190">
        <f>+(U38+U46+U50+U53+U57)/5</f>
        <v>0.75614000000000003</v>
      </c>
      <c r="V37" s="190">
        <f>+(V38+V46+V50+V53+V57)/5</f>
        <v>0.78964986740672216</v>
      </c>
      <c r="W37" s="191">
        <f>+W38+W46+W50+W53+W57</f>
        <v>0.45950499999999994</v>
      </c>
      <c r="X37" s="191">
        <f>+X38+X46+X50+X53+X57</f>
        <v>0.44091360962072157</v>
      </c>
      <c r="Y37" s="255">
        <f>(Y38+Y46+Y50+Y53+Y57)/5</f>
        <v>0.13760416666666669</v>
      </c>
      <c r="Z37" s="255">
        <f>(Z38+Z46+Z50+Z53+Z57)/5</f>
        <v>0.37340679841269842</v>
      </c>
      <c r="AA37" s="256">
        <f>+(AA38+AA46+AA50+AA53+AA57)</f>
        <v>8.7734791666666673E-2</v>
      </c>
      <c r="AB37" s="256">
        <f>+(AB38*E38+AB46*E46+AB50*E50+AB53*E53+AB57*E57)</f>
        <v>0.27470192500000001</v>
      </c>
      <c r="AC37" s="1105"/>
      <c r="AD37" s="602"/>
      <c r="AE37" s="602"/>
      <c r="AF37" s="602"/>
      <c r="AG37" s="602"/>
      <c r="AH37" s="602"/>
    </row>
    <row r="38" spans="1:35" ht="42.75" customHeight="1" thickBot="1" x14ac:dyDescent="0.4">
      <c r="A38" s="184"/>
      <c r="B38" s="1319" t="s">
        <v>1727</v>
      </c>
      <c r="C38" s="1333"/>
      <c r="D38" s="267"/>
      <c r="E38" s="268">
        <v>0.25</v>
      </c>
      <c r="F38" s="262"/>
      <c r="G38" s="192"/>
      <c r="H38" s="192"/>
      <c r="I38" s="198">
        <f>+AVERAGE(I39:I45)</f>
        <v>0.23611111111111108</v>
      </c>
      <c r="J38" s="198">
        <f>+AVERAGE(J39:J45)</f>
        <v>0.30260416666666662</v>
      </c>
      <c r="K38" s="198">
        <f>+K39+K40+K41+K42+K43+K44+K45</f>
        <v>6.5833333333333327E-2</v>
      </c>
      <c r="L38" s="198">
        <f>+L39+L40+L41+L42+L43+L44+L45</f>
        <v>8.9583333333333334E-2</v>
      </c>
      <c r="M38" s="197"/>
      <c r="N38" s="197"/>
      <c r="O38" s="197"/>
      <c r="P38" s="197"/>
      <c r="Q38" s="197"/>
      <c r="R38" s="197"/>
      <c r="S38" s="199"/>
      <c r="T38" s="197"/>
      <c r="U38" s="221">
        <f>+AVERAGE(U39:U45)</f>
        <v>0.66469999999999996</v>
      </c>
      <c r="V38" s="221">
        <f>+AVERAGE(V39:V45)</f>
        <v>0.66946382978723407</v>
      </c>
      <c r="W38" s="221">
        <f>+(W39+W40+W41+W42+W43+W44+W45)*E38</f>
        <v>5.7204999999999999E-2</v>
      </c>
      <c r="X38" s="221">
        <f>+(X39+X40+X41+X42+X43+X44+X45)*E38</f>
        <v>3.2365957446808508E-2</v>
      </c>
      <c r="Y38" s="198">
        <f>+AVERAGE(Y39:Y45)</f>
        <v>0.12475416666666667</v>
      </c>
      <c r="Z38" s="198">
        <f>+AVERAGE(Z39:Z45)</f>
        <v>0.29423154761904763</v>
      </c>
      <c r="AA38" s="258">
        <f>+(AA39+AA40+AA41+AA42+AA43+AA44+AA45)*E38</f>
        <v>8.0881249999999998E-3</v>
      </c>
      <c r="AB38" s="258">
        <f>+(AB39+AB40+AB41+AB42+AB43+AB44+AB45)</f>
        <v>0.17025750000000001</v>
      </c>
      <c r="AC38" s="1106"/>
      <c r="AD38" s="602"/>
      <c r="AE38" s="602"/>
      <c r="AF38" s="602"/>
      <c r="AG38" s="602"/>
      <c r="AH38" s="602"/>
    </row>
    <row r="39" spans="1:35" ht="88.2" customHeight="1" thickBot="1" x14ac:dyDescent="0.4">
      <c r="A39" s="184"/>
      <c r="B39" s="1001" t="s">
        <v>830</v>
      </c>
      <c r="C39" s="1011" t="s">
        <v>1288</v>
      </c>
      <c r="D39" s="260" t="s">
        <v>767</v>
      </c>
      <c r="E39" s="264">
        <v>0.03</v>
      </c>
      <c r="F39" s="262">
        <f>12*4</f>
        <v>48</v>
      </c>
      <c r="G39" s="199">
        <v>12</v>
      </c>
      <c r="H39" s="199">
        <v>12</v>
      </c>
      <c r="I39" s="205">
        <f t="shared" ref="I39:I45" si="17">+G39/F39</f>
        <v>0.25</v>
      </c>
      <c r="J39" s="205">
        <f t="shared" ref="J39:J43" si="18">+H39/F39</f>
        <v>0.25</v>
      </c>
      <c r="K39" s="205">
        <f t="shared" ref="K39:K45" si="19">+(G39/F39)*E39</f>
        <v>7.4999999999999997E-3</v>
      </c>
      <c r="L39" s="205">
        <f t="shared" ref="L39:L43" si="20">+(H39/F39)*E39</f>
        <v>7.4999999999999997E-3</v>
      </c>
      <c r="M39" s="199">
        <v>12</v>
      </c>
      <c r="N39" s="608">
        <v>0</v>
      </c>
      <c r="O39" s="608">
        <v>3</v>
      </c>
      <c r="P39" s="608">
        <v>2</v>
      </c>
      <c r="Q39" s="608">
        <v>5</v>
      </c>
      <c r="R39" s="608">
        <v>2</v>
      </c>
      <c r="S39" s="199">
        <f t="shared" si="5"/>
        <v>12</v>
      </c>
      <c r="T39" s="199">
        <f t="shared" ref="T39:T45" si="21">+S39+M39</f>
        <v>24</v>
      </c>
      <c r="U39" s="205">
        <f>+(M39/G39)</f>
        <v>1</v>
      </c>
      <c r="V39" s="223">
        <f>+S39/H39</f>
        <v>1</v>
      </c>
      <c r="W39" s="223">
        <f>+U39*E39</f>
        <v>0.03</v>
      </c>
      <c r="X39" s="223">
        <f>+V39*E39</f>
        <v>0.03</v>
      </c>
      <c r="Y39" s="223">
        <f>+M39/F39</f>
        <v>0.25</v>
      </c>
      <c r="Z39" s="266">
        <f>+T39/F39</f>
        <v>0.5</v>
      </c>
      <c r="AA39" s="266">
        <f>+Y39*E39</f>
        <v>7.4999999999999997E-3</v>
      </c>
      <c r="AB39" s="266">
        <f t="shared" ref="AB39:AB45" si="22">+Z39*E39</f>
        <v>1.4999999999999999E-2</v>
      </c>
      <c r="AC39" s="636" t="s">
        <v>1850</v>
      </c>
      <c r="AD39" s="637" t="s">
        <v>1893</v>
      </c>
      <c r="AE39" s="637" t="s">
        <v>2276</v>
      </c>
      <c r="AF39" s="637" t="s">
        <v>2296</v>
      </c>
      <c r="AG39" s="637" t="s">
        <v>2413</v>
      </c>
      <c r="AH39" s="637" t="s">
        <v>2448</v>
      </c>
      <c r="AI39" s="637" t="s">
        <v>2567</v>
      </c>
    </row>
    <row r="40" spans="1:35" ht="77.400000000000006" customHeight="1" thickBot="1" x14ac:dyDescent="0.4">
      <c r="A40" s="184"/>
      <c r="B40" s="1012" t="s">
        <v>831</v>
      </c>
      <c r="C40" s="1013" t="s">
        <v>1289</v>
      </c>
      <c r="D40" s="260" t="s">
        <v>767</v>
      </c>
      <c r="E40" s="264">
        <v>0.2</v>
      </c>
      <c r="F40" s="262">
        <v>80000</v>
      </c>
      <c r="G40" s="199">
        <v>10000</v>
      </c>
      <c r="H40" s="199">
        <v>23500</v>
      </c>
      <c r="I40" s="205">
        <f t="shared" si="17"/>
        <v>0.125</v>
      </c>
      <c r="J40" s="205">
        <f t="shared" si="18"/>
        <v>0.29375000000000001</v>
      </c>
      <c r="K40" s="205">
        <f t="shared" si="19"/>
        <v>2.5000000000000001E-2</v>
      </c>
      <c r="L40" s="205">
        <f t="shared" si="20"/>
        <v>5.8750000000000004E-2</v>
      </c>
      <c r="M40" s="199">
        <v>9941</v>
      </c>
      <c r="N40" s="608">
        <v>395</v>
      </c>
      <c r="O40" s="608">
        <v>2208</v>
      </c>
      <c r="P40" s="608">
        <v>1193</v>
      </c>
      <c r="Q40" s="608">
        <v>1517</v>
      </c>
      <c r="R40" s="608">
        <v>2849</v>
      </c>
      <c r="S40" s="199">
        <f t="shared" si="5"/>
        <v>8162</v>
      </c>
      <c r="T40" s="199">
        <f t="shared" si="21"/>
        <v>18103</v>
      </c>
      <c r="U40" s="205">
        <f>+(M40/G40)</f>
        <v>0.99409999999999998</v>
      </c>
      <c r="V40" s="223">
        <f>+S40/H40</f>
        <v>0.34731914893617022</v>
      </c>
      <c r="W40" s="223">
        <f>+U40*E40</f>
        <v>0.19882</v>
      </c>
      <c r="X40" s="223">
        <f>+V40*E40</f>
        <v>6.9463829787234047E-2</v>
      </c>
      <c r="Y40" s="223">
        <f>+M40/F40</f>
        <v>0.1242625</v>
      </c>
      <c r="Z40" s="266">
        <f>+T40/F40</f>
        <v>0.2262875</v>
      </c>
      <c r="AA40" s="266">
        <f>+Y40*E40</f>
        <v>2.48525E-2</v>
      </c>
      <c r="AB40" s="266">
        <f t="shared" si="22"/>
        <v>4.5257500000000006E-2</v>
      </c>
      <c r="AC40" s="636" t="s">
        <v>1850</v>
      </c>
      <c r="AD40" s="637" t="s">
        <v>1893</v>
      </c>
      <c r="AE40" s="637" t="s">
        <v>2276</v>
      </c>
      <c r="AF40" s="637" t="s">
        <v>2296</v>
      </c>
      <c r="AG40" s="637" t="s">
        <v>2413</v>
      </c>
      <c r="AH40" s="637" t="s">
        <v>2448</v>
      </c>
      <c r="AI40" s="637" t="s">
        <v>2567</v>
      </c>
    </row>
    <row r="41" spans="1:35" ht="81" customHeight="1" thickBot="1" x14ac:dyDescent="0.4">
      <c r="A41" s="184"/>
      <c r="B41" s="1001" t="s">
        <v>832</v>
      </c>
      <c r="C41" s="1011" t="s">
        <v>1290</v>
      </c>
      <c r="D41" s="260" t="s">
        <v>767</v>
      </c>
      <c r="E41" s="264">
        <v>0.03</v>
      </c>
      <c r="F41" s="262">
        <v>3</v>
      </c>
      <c r="G41" s="199">
        <v>0</v>
      </c>
      <c r="H41" s="199">
        <v>1</v>
      </c>
      <c r="I41" s="205"/>
      <c r="J41" s="205">
        <f t="shared" si="18"/>
        <v>0.33333333333333331</v>
      </c>
      <c r="K41" s="205"/>
      <c r="L41" s="205">
        <f t="shared" si="20"/>
        <v>9.9999999999999985E-3</v>
      </c>
      <c r="M41" s="199"/>
      <c r="N41" s="608">
        <v>0</v>
      </c>
      <c r="O41" s="608">
        <v>1</v>
      </c>
      <c r="P41" s="608">
        <v>0</v>
      </c>
      <c r="Q41" s="608">
        <v>0</v>
      </c>
      <c r="R41" s="608">
        <v>0</v>
      </c>
      <c r="S41" s="199">
        <f t="shared" si="5"/>
        <v>1</v>
      </c>
      <c r="T41" s="199">
        <f t="shared" si="21"/>
        <v>1</v>
      </c>
      <c r="U41" s="205"/>
      <c r="V41" s="223">
        <f>+S41/H41</f>
        <v>1</v>
      </c>
      <c r="W41" s="223"/>
      <c r="X41" s="223">
        <f>+V41*E41</f>
        <v>0.03</v>
      </c>
      <c r="Y41" s="223"/>
      <c r="Z41" s="266">
        <f>+T41/F41</f>
        <v>0.33333333333333331</v>
      </c>
      <c r="AA41" s="266"/>
      <c r="AB41" s="266">
        <f t="shared" si="22"/>
        <v>9.9999999999999985E-3</v>
      </c>
      <c r="AC41" s="636" t="s">
        <v>1850</v>
      </c>
      <c r="AD41" s="719" t="s">
        <v>1920</v>
      </c>
      <c r="AE41" s="637" t="s">
        <v>2276</v>
      </c>
      <c r="AF41" s="637" t="s">
        <v>2296</v>
      </c>
      <c r="AG41" s="637" t="s">
        <v>2413</v>
      </c>
      <c r="AH41" s="637" t="s">
        <v>2448</v>
      </c>
      <c r="AI41" s="637" t="s">
        <v>2567</v>
      </c>
    </row>
    <row r="42" spans="1:35" ht="89.4" customHeight="1" thickBot="1" x14ac:dyDescent="0.4">
      <c r="A42" s="184"/>
      <c r="B42" s="1001" t="s">
        <v>833</v>
      </c>
      <c r="C42" s="1011" t="s">
        <v>1291</v>
      </c>
      <c r="D42" s="260" t="s">
        <v>767</v>
      </c>
      <c r="E42" s="264">
        <v>0.1</v>
      </c>
      <c r="F42" s="262">
        <v>100000</v>
      </c>
      <c r="G42" s="199">
        <v>0</v>
      </c>
      <c r="H42" s="199">
        <v>0</v>
      </c>
      <c r="I42" s="205"/>
      <c r="J42" s="205"/>
      <c r="K42" s="205"/>
      <c r="L42" s="205"/>
      <c r="M42" s="199"/>
      <c r="N42" s="608"/>
      <c r="O42" s="608"/>
      <c r="P42" s="608">
        <v>0</v>
      </c>
      <c r="Q42" s="608">
        <v>0</v>
      </c>
      <c r="R42" s="608">
        <v>0</v>
      </c>
      <c r="S42" s="199">
        <f t="shared" si="5"/>
        <v>0</v>
      </c>
      <c r="T42" s="199">
        <f t="shared" si="21"/>
        <v>0</v>
      </c>
      <c r="U42" s="205"/>
      <c r="V42" s="223"/>
      <c r="W42" s="223"/>
      <c r="X42" s="223"/>
      <c r="Y42" s="223"/>
      <c r="Z42" s="266">
        <v>0</v>
      </c>
      <c r="AA42" s="266"/>
      <c r="AB42" s="266">
        <f t="shared" si="22"/>
        <v>0</v>
      </c>
      <c r="AC42" s="636" t="s">
        <v>1850</v>
      </c>
      <c r="AD42" s="637" t="s">
        <v>1893</v>
      </c>
      <c r="AE42" s="637" t="s">
        <v>2276</v>
      </c>
      <c r="AF42" s="637" t="s">
        <v>2296</v>
      </c>
      <c r="AG42" s="637" t="s">
        <v>2413</v>
      </c>
      <c r="AH42" s="637" t="s">
        <v>2448</v>
      </c>
      <c r="AI42" s="637" t="s">
        <v>2567</v>
      </c>
    </row>
    <row r="43" spans="1:35" ht="96" customHeight="1" thickBot="1" x14ac:dyDescent="0.4">
      <c r="A43" s="184"/>
      <c r="B43" s="1001" t="s">
        <v>834</v>
      </c>
      <c r="C43" s="1011" t="s">
        <v>1292</v>
      </c>
      <c r="D43" s="260" t="s">
        <v>767</v>
      </c>
      <c r="E43" s="264">
        <v>0.04</v>
      </c>
      <c r="F43" s="262">
        <v>3</v>
      </c>
      <c r="G43" s="199">
        <v>0</v>
      </c>
      <c r="H43" s="199">
        <v>1</v>
      </c>
      <c r="I43" s="205"/>
      <c r="J43" s="205">
        <f t="shared" si="18"/>
        <v>0.33333333333333331</v>
      </c>
      <c r="K43" s="205"/>
      <c r="L43" s="205">
        <f t="shared" si="20"/>
        <v>1.3333333333333332E-2</v>
      </c>
      <c r="M43" s="199"/>
      <c r="N43" s="608">
        <v>0</v>
      </c>
      <c r="O43" s="608">
        <v>0</v>
      </c>
      <c r="P43" s="608">
        <v>0</v>
      </c>
      <c r="Q43" s="608">
        <v>0</v>
      </c>
      <c r="R43" s="608">
        <v>0</v>
      </c>
      <c r="S43" s="199">
        <f t="shared" si="5"/>
        <v>0</v>
      </c>
      <c r="T43" s="199">
        <f t="shared" si="21"/>
        <v>0</v>
      </c>
      <c r="U43" s="205"/>
      <c r="V43" s="223">
        <f>+S43/H43</f>
        <v>0</v>
      </c>
      <c r="W43" s="223"/>
      <c r="X43" s="223">
        <f>+V43*E43</f>
        <v>0</v>
      </c>
      <c r="Y43" s="223"/>
      <c r="Z43" s="266">
        <v>0</v>
      </c>
      <c r="AA43" s="266"/>
      <c r="AB43" s="266">
        <f t="shared" si="22"/>
        <v>0</v>
      </c>
      <c r="AC43" s="636" t="s">
        <v>1850</v>
      </c>
      <c r="AD43" s="719" t="s">
        <v>1920</v>
      </c>
      <c r="AE43" s="637" t="s">
        <v>2276</v>
      </c>
      <c r="AF43" s="637" t="s">
        <v>2296</v>
      </c>
      <c r="AG43" s="637" t="s">
        <v>2413</v>
      </c>
      <c r="AH43" s="637" t="s">
        <v>2448</v>
      </c>
      <c r="AI43" s="637" t="s">
        <v>2567</v>
      </c>
    </row>
    <row r="44" spans="1:35" ht="72.599999999999994" customHeight="1" thickBot="1" x14ac:dyDescent="0.4">
      <c r="A44" s="184"/>
      <c r="B44" s="1001" t="s">
        <v>835</v>
      </c>
      <c r="C44" s="1011" t="s">
        <v>1293</v>
      </c>
      <c r="D44" s="260" t="s">
        <v>836</v>
      </c>
      <c r="E44" s="264">
        <v>0.5</v>
      </c>
      <c r="F44" s="262">
        <v>1</v>
      </c>
      <c r="G44" s="199">
        <v>0</v>
      </c>
      <c r="H44" s="199">
        <v>0</v>
      </c>
      <c r="I44" s="205"/>
      <c r="J44" s="205"/>
      <c r="K44" s="205"/>
      <c r="L44" s="205"/>
      <c r="M44" s="199"/>
      <c r="N44" s="608"/>
      <c r="O44" s="608"/>
      <c r="P44" s="608">
        <v>0</v>
      </c>
      <c r="Q44" s="608"/>
      <c r="R44" s="608">
        <v>0</v>
      </c>
      <c r="S44" s="199">
        <f t="shared" si="5"/>
        <v>0</v>
      </c>
      <c r="T44" s="199">
        <f t="shared" si="21"/>
        <v>0</v>
      </c>
      <c r="U44" s="205"/>
      <c r="V44" s="223"/>
      <c r="W44" s="223"/>
      <c r="X44" s="223"/>
      <c r="Y44" s="223"/>
      <c r="Z44" s="266">
        <v>0</v>
      </c>
      <c r="AA44" s="266"/>
      <c r="AB44" s="266">
        <f t="shared" si="22"/>
        <v>0</v>
      </c>
      <c r="AC44" s="636" t="s">
        <v>1850</v>
      </c>
      <c r="AD44" s="637" t="s">
        <v>1893</v>
      </c>
      <c r="AE44" s="637" t="s">
        <v>2276</v>
      </c>
      <c r="AF44" s="637" t="s">
        <v>2296</v>
      </c>
      <c r="AG44" s="637" t="s">
        <v>2413</v>
      </c>
      <c r="AH44" s="637" t="s">
        <v>2448</v>
      </c>
      <c r="AI44" s="637" t="s">
        <v>2567</v>
      </c>
    </row>
    <row r="45" spans="1:35" ht="63" customHeight="1" thickBot="1" x14ac:dyDescent="0.4">
      <c r="A45" s="184"/>
      <c r="B45" s="1001" t="s">
        <v>837</v>
      </c>
      <c r="C45" s="1011" t="s">
        <v>1294</v>
      </c>
      <c r="D45" s="260" t="s">
        <v>838</v>
      </c>
      <c r="E45" s="264">
        <v>0.1</v>
      </c>
      <c r="F45" s="262">
        <v>3</v>
      </c>
      <c r="G45" s="199">
        <v>1</v>
      </c>
      <c r="H45" s="199">
        <v>0</v>
      </c>
      <c r="I45" s="205">
        <f t="shared" si="17"/>
        <v>0.33333333333333331</v>
      </c>
      <c r="J45" s="205"/>
      <c r="K45" s="205">
        <f t="shared" si="19"/>
        <v>3.3333333333333333E-2</v>
      </c>
      <c r="L45" s="205"/>
      <c r="M45" s="199">
        <v>0</v>
      </c>
      <c r="N45" s="608"/>
      <c r="O45" s="608"/>
      <c r="P45" s="608">
        <v>1</v>
      </c>
      <c r="Q45" s="608"/>
      <c r="R45" s="272">
        <v>2</v>
      </c>
      <c r="S45" s="199">
        <f t="shared" si="5"/>
        <v>3</v>
      </c>
      <c r="T45" s="199">
        <f t="shared" si="21"/>
        <v>3</v>
      </c>
      <c r="U45" s="205">
        <f>+(M45/G45)</f>
        <v>0</v>
      </c>
      <c r="V45" s="223">
        <v>1</v>
      </c>
      <c r="W45" s="223">
        <f>+U45*E45</f>
        <v>0</v>
      </c>
      <c r="X45" s="223"/>
      <c r="Y45" s="223">
        <f>+M45/F45</f>
        <v>0</v>
      </c>
      <c r="Z45" s="266">
        <f>+T45/F45</f>
        <v>1</v>
      </c>
      <c r="AA45" s="266">
        <f>+Y45*E45</f>
        <v>0</v>
      </c>
      <c r="AB45" s="266">
        <f t="shared" si="22"/>
        <v>0.1</v>
      </c>
      <c r="AC45" s="1107" t="s">
        <v>1846</v>
      </c>
      <c r="AD45" s="602"/>
      <c r="AE45" s="602"/>
      <c r="AF45" s="602"/>
      <c r="AG45" s="637" t="s">
        <v>2413</v>
      </c>
      <c r="AH45" s="637" t="s">
        <v>2448</v>
      </c>
      <c r="AI45" s="719" t="s">
        <v>2597</v>
      </c>
    </row>
    <row r="46" spans="1:35" ht="57" customHeight="1" thickBot="1" x14ac:dyDescent="0.4">
      <c r="A46" s="184"/>
      <c r="B46" s="1319" t="s">
        <v>1728</v>
      </c>
      <c r="C46" s="1333"/>
      <c r="D46" s="267"/>
      <c r="E46" s="268">
        <v>0.25</v>
      </c>
      <c r="F46" s="262"/>
      <c r="G46" s="192"/>
      <c r="H46" s="192"/>
      <c r="I46" s="198">
        <f>+AVERAGE(I47:I49)</f>
        <v>0.15833333333333333</v>
      </c>
      <c r="J46" s="198">
        <f>+AVERAGE(J47:J49)</f>
        <v>0.33611111111111108</v>
      </c>
      <c r="K46" s="198">
        <f>+K47+K48+K49</f>
        <v>0.15250000000000002</v>
      </c>
      <c r="L46" s="198">
        <f>+L47+L48+L49</f>
        <v>0.34083333333333338</v>
      </c>
      <c r="M46" s="197"/>
      <c r="N46" s="197"/>
      <c r="O46" s="197"/>
      <c r="P46" s="197"/>
      <c r="Q46" s="197"/>
      <c r="R46" s="1218"/>
      <c r="S46" s="199"/>
      <c r="T46" s="197"/>
      <c r="U46" s="221">
        <f>+AVERAGE(U47:U49)</f>
        <v>0.61599999999999999</v>
      </c>
      <c r="V46" s="221">
        <f>+AVERAGE(V47:V49)</f>
        <v>0.69265217391304346</v>
      </c>
      <c r="W46" s="221">
        <f>+(W47+W48+W49)*E46</f>
        <v>0.14229999999999998</v>
      </c>
      <c r="X46" s="221">
        <f>+(X47+X48+X49)*E46</f>
        <v>0.15779565217391306</v>
      </c>
      <c r="Y46" s="198">
        <f>+AVERAGE(Y47:Y49)</f>
        <v>0.10493333333333332</v>
      </c>
      <c r="Z46" s="198">
        <f>+AVERAGE(Z47:Z49)</f>
        <v>0.3803111111111111</v>
      </c>
      <c r="AA46" s="258">
        <f>+(AA47+AA48+AA49)*E46</f>
        <v>2.3980000000000001E-2</v>
      </c>
      <c r="AB46" s="258">
        <f>+(AB47+AB48+AB49)</f>
        <v>0.34674833333333333</v>
      </c>
      <c r="AC46" s="1106"/>
      <c r="AD46" s="602"/>
      <c r="AE46" s="602"/>
      <c r="AF46" s="602"/>
      <c r="AG46" s="602"/>
      <c r="AH46" s="602"/>
    </row>
    <row r="47" spans="1:35" ht="70.95" customHeight="1" thickBot="1" x14ac:dyDescent="0.4">
      <c r="A47" s="184"/>
      <c r="B47" s="1001" t="s">
        <v>839</v>
      </c>
      <c r="C47" s="1011" t="s">
        <v>1295</v>
      </c>
      <c r="D47" s="260" t="s">
        <v>790</v>
      </c>
      <c r="E47" s="264">
        <v>0.4</v>
      </c>
      <c r="F47" s="262">
        <v>300000</v>
      </c>
      <c r="G47" s="199">
        <v>30000</v>
      </c>
      <c r="H47" s="199">
        <v>115000</v>
      </c>
      <c r="I47" s="206">
        <f>+G47/F47</f>
        <v>0.1</v>
      </c>
      <c r="J47" s="205">
        <f t="shared" ref="J47:J56" si="23">+H47/F47</f>
        <v>0.38333333333333336</v>
      </c>
      <c r="K47" s="205">
        <f>+(G47/F47)*E47</f>
        <v>4.0000000000000008E-2</v>
      </c>
      <c r="L47" s="205">
        <f t="shared" ref="L47:L59" si="24">+(H47/F47)*E47</f>
        <v>0.15333333333333335</v>
      </c>
      <c r="M47" s="199">
        <v>4440</v>
      </c>
      <c r="N47" s="608">
        <v>3037</v>
      </c>
      <c r="O47" s="608">
        <v>2140</v>
      </c>
      <c r="P47" s="608">
        <v>941</v>
      </c>
      <c r="Q47" s="608">
        <v>1358</v>
      </c>
      <c r="R47" s="608">
        <v>1489</v>
      </c>
      <c r="S47" s="199">
        <f t="shared" si="5"/>
        <v>8965</v>
      </c>
      <c r="T47" s="199">
        <f>+S47+M47</f>
        <v>13405</v>
      </c>
      <c r="U47" s="223">
        <f>+(M47/G47)</f>
        <v>0.14799999999999999</v>
      </c>
      <c r="V47" s="223">
        <f>+S47/H47</f>
        <v>7.7956521739130438E-2</v>
      </c>
      <c r="W47" s="223">
        <f>+U47*E47</f>
        <v>5.9200000000000003E-2</v>
      </c>
      <c r="X47" s="223">
        <f>+V47*E47</f>
        <v>3.1182608695652175E-2</v>
      </c>
      <c r="Y47" s="223">
        <f>+M47/F47</f>
        <v>1.4800000000000001E-2</v>
      </c>
      <c r="Z47" s="266">
        <f>+T47/F47</f>
        <v>4.4683333333333332E-2</v>
      </c>
      <c r="AA47" s="266">
        <f>+Y47*E47</f>
        <v>5.9200000000000008E-3</v>
      </c>
      <c r="AB47" s="266">
        <f>+Z47*E47</f>
        <v>1.7873333333333335E-2</v>
      </c>
      <c r="AC47" s="636" t="s">
        <v>1850</v>
      </c>
      <c r="AD47" s="637" t="s">
        <v>1893</v>
      </c>
      <c r="AE47" s="637" t="s">
        <v>2276</v>
      </c>
      <c r="AF47" s="637" t="s">
        <v>2296</v>
      </c>
      <c r="AG47" s="637" t="s">
        <v>2413</v>
      </c>
      <c r="AH47" s="637" t="s">
        <v>2448</v>
      </c>
      <c r="AI47" s="637" t="s">
        <v>2567</v>
      </c>
    </row>
    <row r="48" spans="1:35" ht="78" customHeight="1" thickBot="1" x14ac:dyDescent="0.4">
      <c r="A48" s="184"/>
      <c r="B48" s="1001" t="s">
        <v>840</v>
      </c>
      <c r="C48" s="1011" t="s">
        <v>1296</v>
      </c>
      <c r="D48" s="260" t="s">
        <v>790</v>
      </c>
      <c r="E48" s="264">
        <v>0.3</v>
      </c>
      <c r="F48" s="262">
        <v>8</v>
      </c>
      <c r="G48" s="199">
        <v>1</v>
      </c>
      <c r="H48" s="199">
        <v>3</v>
      </c>
      <c r="I48" s="206">
        <f>+G48/F48</f>
        <v>0.125</v>
      </c>
      <c r="J48" s="205">
        <f t="shared" si="23"/>
        <v>0.375</v>
      </c>
      <c r="K48" s="205">
        <f>+(G48/F48)*E48</f>
        <v>3.7499999999999999E-2</v>
      </c>
      <c r="L48" s="205">
        <f t="shared" si="24"/>
        <v>0.11249999999999999</v>
      </c>
      <c r="M48" s="199">
        <v>1</v>
      </c>
      <c r="N48" s="608">
        <v>0</v>
      </c>
      <c r="O48" s="608">
        <v>1.54</v>
      </c>
      <c r="P48" s="608">
        <v>4.43</v>
      </c>
      <c r="Q48" s="608">
        <v>0</v>
      </c>
      <c r="R48" s="608">
        <v>0</v>
      </c>
      <c r="S48" s="199">
        <f t="shared" si="5"/>
        <v>5.97</v>
      </c>
      <c r="T48" s="199">
        <f>+S48+M48</f>
        <v>6.97</v>
      </c>
      <c r="U48" s="223">
        <f>+(M48/G48)</f>
        <v>1</v>
      </c>
      <c r="V48" s="223">
        <v>1</v>
      </c>
      <c r="W48" s="223">
        <f>+U48*E48</f>
        <v>0.3</v>
      </c>
      <c r="X48" s="223">
        <f>+V48*E48</f>
        <v>0.3</v>
      </c>
      <c r="Y48" s="223">
        <f>+M48/F48</f>
        <v>0.125</v>
      </c>
      <c r="Z48" s="266">
        <f>+T48/F48</f>
        <v>0.87124999999999997</v>
      </c>
      <c r="AA48" s="266">
        <f>+Y48*E48</f>
        <v>3.7499999999999999E-2</v>
      </c>
      <c r="AB48" s="266">
        <f>+Z48*E48</f>
        <v>0.26137499999999997</v>
      </c>
      <c r="AC48" s="636" t="s">
        <v>1850</v>
      </c>
      <c r="AD48" s="637" t="s">
        <v>1893</v>
      </c>
      <c r="AE48" s="637" t="s">
        <v>2276</v>
      </c>
      <c r="AF48" s="637" t="s">
        <v>2296</v>
      </c>
      <c r="AG48" s="637" t="s">
        <v>2413</v>
      </c>
      <c r="AH48" s="637" t="s">
        <v>2448</v>
      </c>
      <c r="AI48" s="637" t="s">
        <v>2567</v>
      </c>
    </row>
    <row r="49" spans="1:35" ht="69.599999999999994" customHeight="1" thickBot="1" x14ac:dyDescent="0.4">
      <c r="A49" s="184"/>
      <c r="B49" s="1001" t="s">
        <v>841</v>
      </c>
      <c r="C49" s="1011" t="s">
        <v>1297</v>
      </c>
      <c r="D49" s="273" t="s">
        <v>790</v>
      </c>
      <c r="E49" s="274">
        <v>0.3</v>
      </c>
      <c r="F49" s="262">
        <v>1</v>
      </c>
      <c r="G49" s="199">
        <v>0.25</v>
      </c>
      <c r="H49" s="199">
        <v>0.25</v>
      </c>
      <c r="I49" s="206">
        <f>+G49/F49</f>
        <v>0.25</v>
      </c>
      <c r="J49" s="205">
        <f t="shared" si="23"/>
        <v>0.25</v>
      </c>
      <c r="K49" s="205">
        <f>+(G49/F49)*E49</f>
        <v>7.4999999999999997E-2</v>
      </c>
      <c r="L49" s="205">
        <f t="shared" si="24"/>
        <v>7.4999999999999997E-2</v>
      </c>
      <c r="M49" s="199">
        <v>0.17499999999999999</v>
      </c>
      <c r="N49" s="608">
        <v>0.02</v>
      </c>
      <c r="O49" s="608">
        <v>0.03</v>
      </c>
      <c r="P49" s="608">
        <v>0</v>
      </c>
      <c r="Q49" s="608">
        <v>0</v>
      </c>
      <c r="R49" s="608">
        <v>0</v>
      </c>
      <c r="S49" s="199">
        <f t="shared" si="5"/>
        <v>0.05</v>
      </c>
      <c r="T49" s="199">
        <f>+S49+M49</f>
        <v>0.22499999999999998</v>
      </c>
      <c r="U49" s="223">
        <f>+M49/G49</f>
        <v>0.7</v>
      </c>
      <c r="V49" s="223">
        <v>1</v>
      </c>
      <c r="W49" s="223">
        <f>+U49*E49</f>
        <v>0.21</v>
      </c>
      <c r="X49" s="223">
        <f>+V49*E49</f>
        <v>0.3</v>
      </c>
      <c r="Y49" s="223">
        <f>+M49/F49</f>
        <v>0.17499999999999999</v>
      </c>
      <c r="Z49" s="266">
        <f>+T49/F49</f>
        <v>0.22499999999999998</v>
      </c>
      <c r="AA49" s="266">
        <f>+Y49*E49</f>
        <v>5.2499999999999998E-2</v>
      </c>
      <c r="AB49" s="266">
        <f>+Z49*E49</f>
        <v>6.7499999999999991E-2</v>
      </c>
      <c r="AC49" s="636" t="s">
        <v>1850</v>
      </c>
      <c r="AD49" s="637" t="s">
        <v>1893</v>
      </c>
      <c r="AE49" s="637" t="s">
        <v>2276</v>
      </c>
      <c r="AF49" s="719" t="s">
        <v>2328</v>
      </c>
      <c r="AG49" s="637" t="s">
        <v>2413</v>
      </c>
      <c r="AH49" s="637" t="s">
        <v>2448</v>
      </c>
      <c r="AI49" s="637" t="s">
        <v>2567</v>
      </c>
    </row>
    <row r="50" spans="1:35" ht="66" customHeight="1" thickBot="1" x14ac:dyDescent="0.4">
      <c r="A50" s="184"/>
      <c r="B50" s="1319" t="s">
        <v>1729</v>
      </c>
      <c r="C50" s="1333"/>
      <c r="D50" s="267"/>
      <c r="E50" s="268">
        <v>0.15</v>
      </c>
      <c r="F50" s="262"/>
      <c r="G50" s="192"/>
      <c r="H50" s="192"/>
      <c r="I50" s="198">
        <f>+AVERAGE(I51:I52)*0.5</f>
        <v>0.125</v>
      </c>
      <c r="J50" s="198">
        <f>+AVERAGE(J51:J52)</f>
        <v>0.22500000000000001</v>
      </c>
      <c r="K50" s="198">
        <f>+K51+K52</f>
        <v>0.1</v>
      </c>
      <c r="L50" s="198">
        <f>+L51+L52</f>
        <v>0.22</v>
      </c>
      <c r="M50" s="197"/>
      <c r="N50" s="197"/>
      <c r="O50" s="197"/>
      <c r="P50" s="197"/>
      <c r="Q50" s="197"/>
      <c r="R50" s="1218"/>
      <c r="S50" s="199"/>
      <c r="T50" s="197"/>
      <c r="U50" s="221">
        <f>+AVERAGE(U51:U52)</f>
        <v>1</v>
      </c>
      <c r="V50" s="221">
        <f>+AVERAGE(V51:V52)</f>
        <v>0.6</v>
      </c>
      <c r="W50" s="221">
        <f>+(W51+W52)*E50</f>
        <v>0.06</v>
      </c>
      <c r="X50" s="221">
        <f>+(X51+X52)*E50</f>
        <v>0.10199999999999999</v>
      </c>
      <c r="Y50" s="198">
        <f>+AVERAGE(Y51:Y52)*0.5</f>
        <v>0.125</v>
      </c>
      <c r="Z50" s="198">
        <f>+AVERAGE(Z51:Z52)</f>
        <v>0.35</v>
      </c>
      <c r="AA50" s="258">
        <f>+(AA51+AA52)*E50</f>
        <v>1.4999999999999999E-2</v>
      </c>
      <c r="AB50" s="258">
        <f>+(AB51+AB52)</f>
        <v>0.36</v>
      </c>
      <c r="AC50" s="1106"/>
      <c r="AD50" s="602"/>
      <c r="AE50" s="602"/>
      <c r="AF50" s="602"/>
      <c r="AG50" s="602"/>
      <c r="AH50" s="602"/>
    </row>
    <row r="51" spans="1:35" ht="84.6" customHeight="1" thickBot="1" x14ac:dyDescent="0.4">
      <c r="A51" s="184"/>
      <c r="B51" s="1012" t="s">
        <v>842</v>
      </c>
      <c r="C51" s="1013" t="s">
        <v>1298</v>
      </c>
      <c r="D51" s="273" t="s">
        <v>790</v>
      </c>
      <c r="E51" s="274">
        <v>0.6</v>
      </c>
      <c r="F51" s="262">
        <v>1</v>
      </c>
      <c r="G51" s="199">
        <v>0</v>
      </c>
      <c r="H51" s="199">
        <v>0.2</v>
      </c>
      <c r="I51" s="205"/>
      <c r="J51" s="205">
        <f t="shared" si="23"/>
        <v>0.2</v>
      </c>
      <c r="K51" s="205"/>
      <c r="L51" s="205">
        <f t="shared" si="24"/>
        <v>0.12</v>
      </c>
      <c r="M51" s="199"/>
      <c r="N51" s="608">
        <v>7.0000000000000007E-2</v>
      </c>
      <c r="O51" s="608">
        <v>0.33</v>
      </c>
      <c r="P51" s="608">
        <v>0</v>
      </c>
      <c r="Q51" s="608">
        <v>0</v>
      </c>
      <c r="R51" s="608">
        <v>0</v>
      </c>
      <c r="S51" s="199">
        <f>+N51+O51+P51+Q51+R51</f>
        <v>0.4</v>
      </c>
      <c r="T51" s="235">
        <f>+S51+M51</f>
        <v>0.4</v>
      </c>
      <c r="U51" s="223"/>
      <c r="V51" s="223">
        <v>1</v>
      </c>
      <c r="W51" s="223"/>
      <c r="X51" s="223">
        <f>+V51*E51</f>
        <v>0.6</v>
      </c>
      <c r="Y51" s="223"/>
      <c r="Z51" s="266">
        <f>+T51/F51</f>
        <v>0.4</v>
      </c>
      <c r="AA51" s="266"/>
      <c r="AB51" s="266">
        <f>+Z51*E51</f>
        <v>0.24</v>
      </c>
      <c r="AC51" s="636" t="s">
        <v>1850</v>
      </c>
      <c r="AD51" s="637" t="s">
        <v>1893</v>
      </c>
      <c r="AE51" s="602"/>
      <c r="AF51" s="719" t="s">
        <v>2328</v>
      </c>
      <c r="AG51" s="637" t="s">
        <v>2413</v>
      </c>
      <c r="AH51" s="637" t="s">
        <v>2448</v>
      </c>
      <c r="AI51" s="637" t="s">
        <v>2567</v>
      </c>
    </row>
    <row r="52" spans="1:35" ht="79.2" customHeight="1" thickBot="1" x14ac:dyDescent="0.4">
      <c r="A52" s="184"/>
      <c r="B52" s="1001" t="s">
        <v>843</v>
      </c>
      <c r="C52" s="1011" t="s">
        <v>1299</v>
      </c>
      <c r="D52" s="273" t="s">
        <v>790</v>
      </c>
      <c r="E52" s="274">
        <v>0.4</v>
      </c>
      <c r="F52" s="262">
        <v>2</v>
      </c>
      <c r="G52" s="199">
        <v>0.5</v>
      </c>
      <c r="H52" s="199">
        <v>0.5</v>
      </c>
      <c r="I52" s="205">
        <f>+G52/F52</f>
        <v>0.25</v>
      </c>
      <c r="J52" s="205">
        <f t="shared" si="23"/>
        <v>0.25</v>
      </c>
      <c r="K52" s="205">
        <f>+(G52/F52)*E52</f>
        <v>0.1</v>
      </c>
      <c r="L52" s="205">
        <f t="shared" si="24"/>
        <v>0.1</v>
      </c>
      <c r="M52" s="199">
        <v>0.5</v>
      </c>
      <c r="N52" s="608">
        <v>0.03</v>
      </c>
      <c r="O52" s="608">
        <v>7.0000000000000007E-2</v>
      </c>
      <c r="P52" s="608">
        <v>0</v>
      </c>
      <c r="Q52" s="608">
        <v>0</v>
      </c>
      <c r="R52" s="608">
        <v>0</v>
      </c>
      <c r="S52" s="199">
        <f>+N52+O52+P52+Q52+R52</f>
        <v>0.1</v>
      </c>
      <c r="T52" s="199">
        <f>+S52+M52</f>
        <v>0.6</v>
      </c>
      <c r="U52" s="223">
        <f>+M52/G52</f>
        <v>1</v>
      </c>
      <c r="V52" s="223">
        <f>+S52/H52</f>
        <v>0.2</v>
      </c>
      <c r="W52" s="223">
        <f>+U52*E52</f>
        <v>0.4</v>
      </c>
      <c r="X52" s="223">
        <f>+V52*E52</f>
        <v>8.0000000000000016E-2</v>
      </c>
      <c r="Y52" s="223">
        <f>+M52/F52</f>
        <v>0.25</v>
      </c>
      <c r="Z52" s="266">
        <f>+T52/F52</f>
        <v>0.3</v>
      </c>
      <c r="AA52" s="266">
        <f>+Y52*E52</f>
        <v>0.1</v>
      </c>
      <c r="AB52" s="266">
        <f>+Z52*E52</f>
        <v>0.12</v>
      </c>
      <c r="AC52" s="636" t="s">
        <v>1850</v>
      </c>
      <c r="AD52" s="637" t="s">
        <v>1893</v>
      </c>
      <c r="AE52" s="602"/>
      <c r="AF52" s="637" t="s">
        <v>2296</v>
      </c>
      <c r="AG52" s="637" t="s">
        <v>2413</v>
      </c>
      <c r="AH52" s="637" t="s">
        <v>2448</v>
      </c>
      <c r="AI52" s="637" t="s">
        <v>2567</v>
      </c>
    </row>
    <row r="53" spans="1:35" ht="57" customHeight="1" thickBot="1" x14ac:dyDescent="0.4">
      <c r="A53" s="184"/>
      <c r="B53" s="1319" t="s">
        <v>1730</v>
      </c>
      <c r="C53" s="1333"/>
      <c r="D53" s="267"/>
      <c r="E53" s="268">
        <v>0.1</v>
      </c>
      <c r="F53" s="262"/>
      <c r="G53" s="192"/>
      <c r="H53" s="192"/>
      <c r="I53" s="198">
        <f>+AVERAGE(I54:I56)</f>
        <v>0.20833333333333334</v>
      </c>
      <c r="J53" s="198">
        <f>+AVERAGE(J54:J56)</f>
        <v>0.25</v>
      </c>
      <c r="K53" s="198">
        <f>+K54+K55+K56</f>
        <v>0.20250000000000001</v>
      </c>
      <c r="L53" s="198">
        <f>+L54+L55+L56</f>
        <v>0.24</v>
      </c>
      <c r="M53" s="197"/>
      <c r="N53" s="197"/>
      <c r="O53" s="197"/>
      <c r="P53" s="197"/>
      <c r="Q53" s="197"/>
      <c r="R53" s="1218"/>
      <c r="S53" s="199"/>
      <c r="T53" s="197"/>
      <c r="U53" s="221">
        <f>+AVERAGE(U54:U56)</f>
        <v>1</v>
      </c>
      <c r="V53" s="221">
        <f>+AVERAGE(V54:V56)</f>
        <v>0.98613333333333342</v>
      </c>
      <c r="W53" s="221">
        <f>+(W54+W55+W56)*E53</f>
        <v>0.1</v>
      </c>
      <c r="X53" s="221">
        <f>+(X54+X55+X56)*E53</f>
        <v>9.8752000000000006E-2</v>
      </c>
      <c r="Y53" s="198">
        <f>+AVERAGE(Y54:Y56)</f>
        <v>0.25</v>
      </c>
      <c r="Z53" s="198">
        <f>+AVERAGE(Z54:Z56)</f>
        <v>0.62986666666666669</v>
      </c>
      <c r="AA53" s="258">
        <f>+(AA54+AA55+AA56)*E53</f>
        <v>2.4E-2</v>
      </c>
      <c r="AB53" s="258">
        <f>+(AB54+AB55+AB56)</f>
        <v>0.57688000000000006</v>
      </c>
      <c r="AC53" s="1106"/>
      <c r="AD53" s="602"/>
      <c r="AE53" s="602"/>
      <c r="AF53" s="602"/>
      <c r="AG53" s="602"/>
      <c r="AH53" s="602"/>
    </row>
    <row r="54" spans="1:35" ht="86.4" customHeight="1" thickBot="1" x14ac:dyDescent="0.4">
      <c r="A54" s="184"/>
      <c r="B54" s="1001" t="s">
        <v>844</v>
      </c>
      <c r="C54" s="1011" t="s">
        <v>1871</v>
      </c>
      <c r="D54" s="260" t="s">
        <v>790</v>
      </c>
      <c r="E54" s="264">
        <v>0.45</v>
      </c>
      <c r="F54" s="262">
        <v>5</v>
      </c>
      <c r="G54" s="199">
        <v>1</v>
      </c>
      <c r="H54" s="199">
        <v>1</v>
      </c>
      <c r="I54" s="205">
        <f>+G54/F54</f>
        <v>0.2</v>
      </c>
      <c r="J54" s="205">
        <f t="shared" si="23"/>
        <v>0.2</v>
      </c>
      <c r="K54" s="205">
        <f>+(G54/F54)*E54</f>
        <v>9.0000000000000011E-2</v>
      </c>
      <c r="L54" s="205">
        <f t="shared" si="24"/>
        <v>9.0000000000000011E-2</v>
      </c>
      <c r="M54" s="199">
        <v>1</v>
      </c>
      <c r="N54" s="608">
        <v>0.14000000000000001</v>
      </c>
      <c r="O54" s="608">
        <v>0.2</v>
      </c>
      <c r="P54" s="608">
        <v>0.28999999999999998</v>
      </c>
      <c r="Q54" s="608">
        <v>0.23</v>
      </c>
      <c r="R54" s="608">
        <v>0.14000000000000001</v>
      </c>
      <c r="S54" s="235">
        <f t="shared" si="5"/>
        <v>1</v>
      </c>
      <c r="T54" s="235">
        <f>+S54+M54</f>
        <v>2</v>
      </c>
      <c r="U54" s="223">
        <f>+(M54/G54)</f>
        <v>1</v>
      </c>
      <c r="V54" s="223">
        <f>+S54/H54</f>
        <v>1</v>
      </c>
      <c r="W54" s="223">
        <f>+U54*E54</f>
        <v>0.45</v>
      </c>
      <c r="X54" s="223">
        <f>+V54*E54</f>
        <v>0.45</v>
      </c>
      <c r="Y54" s="223">
        <f>+M54/F54</f>
        <v>0.2</v>
      </c>
      <c r="Z54" s="266">
        <f>+T54/F54</f>
        <v>0.4</v>
      </c>
      <c r="AA54" s="266">
        <f>+Y54*E54</f>
        <v>9.0000000000000011E-2</v>
      </c>
      <c r="AB54" s="266">
        <f>+Z54*E54</f>
        <v>0.18000000000000002</v>
      </c>
      <c r="AC54" s="636" t="s">
        <v>1850</v>
      </c>
      <c r="AD54" s="637" t="s">
        <v>1893</v>
      </c>
      <c r="AE54" s="637" t="s">
        <v>2276</v>
      </c>
      <c r="AF54" s="637" t="s">
        <v>2296</v>
      </c>
      <c r="AG54" s="637" t="s">
        <v>2413</v>
      </c>
      <c r="AH54" s="637" t="s">
        <v>2448</v>
      </c>
    </row>
    <row r="55" spans="1:35" ht="76.95" customHeight="1" thickBot="1" x14ac:dyDescent="0.4">
      <c r="A55" s="184"/>
      <c r="B55" s="1001" t="s">
        <v>845</v>
      </c>
      <c r="C55" s="1011" t="s">
        <v>1300</v>
      </c>
      <c r="D55" s="260" t="s">
        <v>790</v>
      </c>
      <c r="E55" s="264">
        <v>0.3</v>
      </c>
      <c r="F55" s="262">
        <v>4</v>
      </c>
      <c r="G55" s="199">
        <v>0.5</v>
      </c>
      <c r="H55" s="199">
        <v>1</v>
      </c>
      <c r="I55" s="205">
        <f>+G55/F55</f>
        <v>0.125</v>
      </c>
      <c r="J55" s="205">
        <f t="shared" si="23"/>
        <v>0.25</v>
      </c>
      <c r="K55" s="205">
        <f>+(G55/F55)*E55</f>
        <v>3.7499999999999999E-2</v>
      </c>
      <c r="L55" s="205">
        <f t="shared" si="24"/>
        <v>7.4999999999999997E-2</v>
      </c>
      <c r="M55" s="199">
        <v>1</v>
      </c>
      <c r="N55" s="609">
        <v>1.67E-2</v>
      </c>
      <c r="O55" s="609">
        <v>0.28670000000000001</v>
      </c>
      <c r="P55" s="609">
        <v>0.44500000000000001</v>
      </c>
      <c r="Q55" s="609">
        <v>0.1</v>
      </c>
      <c r="R55" s="609">
        <v>0.11</v>
      </c>
      <c r="S55" s="235">
        <f t="shared" si="5"/>
        <v>0.95839999999999992</v>
      </c>
      <c r="T55" s="235">
        <f>+S55+M55</f>
        <v>1.9583999999999999</v>
      </c>
      <c r="U55" s="223">
        <v>1</v>
      </c>
      <c r="V55" s="223">
        <f>+S55/H55</f>
        <v>0.95839999999999992</v>
      </c>
      <c r="W55" s="223">
        <f>+U55*E55</f>
        <v>0.3</v>
      </c>
      <c r="X55" s="223">
        <f>+V55*E55</f>
        <v>0.28751999999999994</v>
      </c>
      <c r="Y55" s="223">
        <f>+M55/F55</f>
        <v>0.25</v>
      </c>
      <c r="Z55" s="266">
        <f>+T55/F55</f>
        <v>0.48959999999999998</v>
      </c>
      <c r="AA55" s="266">
        <f>+Y55*E55</f>
        <v>7.4999999999999997E-2</v>
      </c>
      <c r="AB55" s="266">
        <f>+Z55*E55</f>
        <v>0.14687999999999998</v>
      </c>
      <c r="AC55" s="636" t="s">
        <v>1850</v>
      </c>
      <c r="AD55" s="637" t="s">
        <v>1893</v>
      </c>
      <c r="AE55" s="637" t="s">
        <v>2276</v>
      </c>
      <c r="AF55" s="637" t="s">
        <v>2296</v>
      </c>
      <c r="AG55" s="637" t="s">
        <v>2413</v>
      </c>
      <c r="AH55" s="637" t="s">
        <v>2448</v>
      </c>
    </row>
    <row r="56" spans="1:35" ht="56.4" customHeight="1" thickBot="1" x14ac:dyDescent="0.4">
      <c r="A56" s="184"/>
      <c r="B56" s="1001" t="s">
        <v>846</v>
      </c>
      <c r="C56" s="1011" t="s">
        <v>1301</v>
      </c>
      <c r="D56" s="260" t="s">
        <v>790</v>
      </c>
      <c r="E56" s="264">
        <v>0.25</v>
      </c>
      <c r="F56" s="262">
        <v>1</v>
      </c>
      <c r="G56" s="199">
        <v>0.3</v>
      </c>
      <c r="H56" s="199">
        <v>0.3</v>
      </c>
      <c r="I56" s="205">
        <f>+G56/F56</f>
        <v>0.3</v>
      </c>
      <c r="J56" s="205">
        <f t="shared" si="23"/>
        <v>0.3</v>
      </c>
      <c r="K56" s="205">
        <f>+(G56/F56)*E56</f>
        <v>7.4999999999999997E-2</v>
      </c>
      <c r="L56" s="205">
        <f t="shared" si="24"/>
        <v>7.4999999999999997E-2</v>
      </c>
      <c r="M56" s="199">
        <v>0.3</v>
      </c>
      <c r="N56" s="609">
        <v>1.67E-2</v>
      </c>
      <c r="O56" s="609">
        <v>0.1</v>
      </c>
      <c r="P56" s="608">
        <v>0.78</v>
      </c>
      <c r="Q56" s="608">
        <v>0.05</v>
      </c>
      <c r="R56" s="608">
        <v>0.05</v>
      </c>
      <c r="S56" s="235">
        <f t="shared" si="5"/>
        <v>0.99670000000000014</v>
      </c>
      <c r="T56" s="235">
        <f>+S56+M56</f>
        <v>1.2967000000000002</v>
      </c>
      <c r="U56" s="223">
        <f>+(M56/G56)</f>
        <v>1</v>
      </c>
      <c r="V56" s="223">
        <v>1</v>
      </c>
      <c r="W56" s="223">
        <f>+U56*E56</f>
        <v>0.25</v>
      </c>
      <c r="X56" s="223">
        <f>+V56*E56</f>
        <v>0.25</v>
      </c>
      <c r="Y56" s="223">
        <f>+M56/F56</f>
        <v>0.3</v>
      </c>
      <c r="Z56" s="266">
        <v>1</v>
      </c>
      <c r="AA56" s="266">
        <f>+Y56*E56</f>
        <v>7.4999999999999997E-2</v>
      </c>
      <c r="AB56" s="266">
        <f>+Z56*E56</f>
        <v>0.25</v>
      </c>
      <c r="AC56" s="636" t="s">
        <v>1850</v>
      </c>
      <c r="AD56" s="637" t="s">
        <v>1893</v>
      </c>
      <c r="AE56" s="637" t="s">
        <v>2276</v>
      </c>
      <c r="AF56" s="637" t="s">
        <v>2296</v>
      </c>
      <c r="AG56" s="637" t="s">
        <v>2435</v>
      </c>
      <c r="AH56" s="637" t="s">
        <v>2448</v>
      </c>
    </row>
    <row r="57" spans="1:35" ht="86.25" customHeight="1" thickBot="1" x14ac:dyDescent="0.4">
      <c r="A57" s="184"/>
      <c r="B57" s="1319" t="s">
        <v>1806</v>
      </c>
      <c r="C57" s="1333"/>
      <c r="D57" s="267"/>
      <c r="E57" s="268">
        <v>0.25</v>
      </c>
      <c r="F57" s="262"/>
      <c r="G57" s="192"/>
      <c r="H57" s="192"/>
      <c r="I57" s="198">
        <f>+AVERAGE(I58:I59)</f>
        <v>0.16666666666666666</v>
      </c>
      <c r="J57" s="198">
        <f>+AVERAGE(J58:J59)</f>
        <v>0.3</v>
      </c>
      <c r="K57" s="198">
        <f>+K58+K59</f>
        <v>0.13333333333333333</v>
      </c>
      <c r="L57" s="198">
        <f>+L58+L59</f>
        <v>0.06</v>
      </c>
      <c r="M57" s="197"/>
      <c r="N57" s="197"/>
      <c r="O57" s="197"/>
      <c r="P57" s="197"/>
      <c r="Q57" s="197"/>
      <c r="R57" s="1218"/>
      <c r="S57" s="199"/>
      <c r="T57" s="197"/>
      <c r="U57" s="221">
        <f>+AVERAGE(U58:U59)</f>
        <v>0.5</v>
      </c>
      <c r="V57" s="221">
        <f>+AVERAGE(V58:V59)</f>
        <v>1</v>
      </c>
      <c r="W57" s="221">
        <f>+(W58+W59)*E57</f>
        <v>0.1</v>
      </c>
      <c r="X57" s="221">
        <f>+(X58+X59)*E57</f>
        <v>0.05</v>
      </c>
      <c r="Y57" s="198">
        <f>+AVERAGE(Y58:Y59)</f>
        <v>8.3333333333333329E-2</v>
      </c>
      <c r="Z57" s="198">
        <f>+AVERAGE(Z58:Z59)</f>
        <v>0.21262466666666666</v>
      </c>
      <c r="AA57" s="258">
        <f>+(AA58+AA59)*E57</f>
        <v>1.6666666666666666E-2</v>
      </c>
      <c r="AB57" s="258">
        <f>+(AB58+AB59)</f>
        <v>0.13504986666666668</v>
      </c>
      <c r="AC57" s="1106"/>
      <c r="AD57" s="602"/>
      <c r="AE57" s="602"/>
      <c r="AF57" s="602"/>
      <c r="AG57" s="602"/>
      <c r="AH57" s="602"/>
    </row>
    <row r="58" spans="1:35" ht="78" customHeight="1" thickBot="1" x14ac:dyDescent="0.4">
      <c r="A58" s="184"/>
      <c r="B58" s="1012" t="s">
        <v>847</v>
      </c>
      <c r="C58" s="1013" t="s">
        <v>1302</v>
      </c>
      <c r="D58" s="276" t="s">
        <v>1540</v>
      </c>
      <c r="E58" s="264">
        <v>0.2</v>
      </c>
      <c r="F58" s="262">
        <v>10000</v>
      </c>
      <c r="G58" s="199">
        <v>0</v>
      </c>
      <c r="H58" s="199">
        <v>3000</v>
      </c>
      <c r="I58" s="205"/>
      <c r="J58" s="205">
        <f t="shared" ref="J58" si="25">+H58/F58</f>
        <v>0.3</v>
      </c>
      <c r="K58" s="205"/>
      <c r="L58" s="205">
        <f t="shared" si="24"/>
        <v>0.06</v>
      </c>
      <c r="M58" s="199"/>
      <c r="N58" s="595">
        <v>0</v>
      </c>
      <c r="O58" s="608">
        <v>1626</v>
      </c>
      <c r="P58" s="608">
        <v>1387.67</v>
      </c>
      <c r="Q58" s="608">
        <v>405.49</v>
      </c>
      <c r="R58" s="608">
        <v>0</v>
      </c>
      <c r="S58" s="199">
        <f t="shared" si="5"/>
        <v>3419.16</v>
      </c>
      <c r="T58" s="199">
        <f>+S58+M58</f>
        <v>3419.16</v>
      </c>
      <c r="U58" s="223"/>
      <c r="V58" s="223">
        <v>1</v>
      </c>
      <c r="W58" s="223"/>
      <c r="X58" s="223">
        <f>+V58*E58</f>
        <v>0.2</v>
      </c>
      <c r="Y58" s="223"/>
      <c r="Z58" s="266">
        <f>+T58/F58</f>
        <v>0.341916</v>
      </c>
      <c r="AA58" s="266"/>
      <c r="AB58" s="266">
        <f>+Z58*E58</f>
        <v>6.8383200000000005E-2</v>
      </c>
      <c r="AC58" s="636" t="s">
        <v>1850</v>
      </c>
      <c r="AD58" s="1100" t="s">
        <v>1920</v>
      </c>
      <c r="AE58" s="637" t="s">
        <v>2276</v>
      </c>
      <c r="AF58" s="637" t="s">
        <v>2296</v>
      </c>
      <c r="AG58" s="637" t="s">
        <v>2413</v>
      </c>
      <c r="AH58" s="637" t="s">
        <v>2448</v>
      </c>
      <c r="AI58" s="637" t="s">
        <v>2567</v>
      </c>
    </row>
    <row r="59" spans="1:35" ht="102.6" customHeight="1" thickBot="1" x14ac:dyDescent="0.4">
      <c r="A59" s="184"/>
      <c r="B59" s="1012" t="s">
        <v>848</v>
      </c>
      <c r="C59" s="1013" t="s">
        <v>1303</v>
      </c>
      <c r="D59" s="276" t="s">
        <v>1540</v>
      </c>
      <c r="E59" s="264">
        <v>0.8</v>
      </c>
      <c r="F59" s="262">
        <v>6</v>
      </c>
      <c r="G59" s="199">
        <v>1</v>
      </c>
      <c r="H59" s="272">
        <v>0</v>
      </c>
      <c r="I59" s="205">
        <f>+G59/F59</f>
        <v>0.16666666666666666</v>
      </c>
      <c r="J59" s="205"/>
      <c r="K59" s="205">
        <f>+(G59/F59)*E59</f>
        <v>0.13333333333333333</v>
      </c>
      <c r="L59" s="205">
        <f t="shared" si="24"/>
        <v>0</v>
      </c>
      <c r="M59" s="199">
        <v>0.5</v>
      </c>
      <c r="N59" s="595"/>
      <c r="O59" s="608"/>
      <c r="P59" s="608"/>
      <c r="Q59" s="608"/>
      <c r="R59" s="608"/>
      <c r="S59" s="199">
        <f t="shared" si="5"/>
        <v>0</v>
      </c>
      <c r="T59" s="199">
        <f>+S59+M59</f>
        <v>0.5</v>
      </c>
      <c r="U59" s="223">
        <f>+(M59/G59)</f>
        <v>0.5</v>
      </c>
      <c r="V59" s="223"/>
      <c r="W59" s="223">
        <f>+U59*E59</f>
        <v>0.4</v>
      </c>
      <c r="X59" s="223">
        <f>+V59*E59</f>
        <v>0</v>
      </c>
      <c r="Y59" s="223">
        <f>+M59/F59</f>
        <v>8.3333333333333329E-2</v>
      </c>
      <c r="Z59" s="266">
        <f>+T59/F59</f>
        <v>8.3333333333333329E-2</v>
      </c>
      <c r="AA59" s="266">
        <f>+Y59*E59</f>
        <v>6.6666666666666666E-2</v>
      </c>
      <c r="AB59" s="266">
        <f>+Z59*E59</f>
        <v>6.6666666666666666E-2</v>
      </c>
      <c r="AC59" s="636" t="s">
        <v>1850</v>
      </c>
      <c r="AD59" s="643" t="s">
        <v>1893</v>
      </c>
      <c r="AE59" s="637" t="s">
        <v>2276</v>
      </c>
      <c r="AF59" s="637" t="s">
        <v>2296</v>
      </c>
      <c r="AG59" s="637" t="s">
        <v>2413</v>
      </c>
      <c r="AH59" s="637" t="s">
        <v>2448</v>
      </c>
      <c r="AI59" s="637" t="s">
        <v>2567</v>
      </c>
    </row>
    <row r="60" spans="1:35" ht="108.75" customHeight="1" thickBot="1" x14ac:dyDescent="0.4">
      <c r="A60" s="184"/>
      <c r="B60" s="1323" t="s">
        <v>1807</v>
      </c>
      <c r="C60" s="1333"/>
      <c r="D60" s="267"/>
      <c r="E60" s="270">
        <v>0.15</v>
      </c>
      <c r="F60" s="187">
        <f>+E60*W60</f>
        <v>0.12154551724137931</v>
      </c>
      <c r="G60" s="192"/>
      <c r="H60" s="188">
        <f>+E60*X60</f>
        <v>0.146505</v>
      </c>
      <c r="I60" s="190">
        <f>+(I61+I64+I69+I73+I77+I79)/6</f>
        <v>0.25786840977058367</v>
      </c>
      <c r="J60" s="190">
        <f>+(J61+J64+J69+J73+J77+J79)/6</f>
        <v>0.22714246502289981</v>
      </c>
      <c r="K60" s="191">
        <f>+(K61+K64+K69+K73+K77+K79)/6</f>
        <v>0.23061672626890017</v>
      </c>
      <c r="L60" s="191">
        <f>+(L61+L64+L69+L73+L77+L79)/6</f>
        <v>0.22248337411380889</v>
      </c>
      <c r="M60" s="192"/>
      <c r="N60" s="192"/>
      <c r="O60" s="192"/>
      <c r="P60" s="192"/>
      <c r="Q60" s="192"/>
      <c r="R60" s="251"/>
      <c r="S60" s="1181"/>
      <c r="T60" s="192"/>
      <c r="U60" s="190">
        <f>+(U61+U64+U69+U73+U77+U79)/6</f>
        <v>0.89865134099616861</v>
      </c>
      <c r="V60" s="190">
        <f>+(V61+V64+V69+V73+V77+V79)/6</f>
        <v>0.98029629629629633</v>
      </c>
      <c r="W60" s="191">
        <f>+W61+W64+W69+W73+W77+W79</f>
        <v>0.81030344827586209</v>
      </c>
      <c r="X60" s="191">
        <f>+X61+X64+X69+X73+X77+X79</f>
        <v>0.97670000000000001</v>
      </c>
      <c r="Y60" s="190">
        <f>(Y61+Y64+Y69+Y73+Y77+Y79)/6</f>
        <v>0.34751855340367338</v>
      </c>
      <c r="Z60" s="190">
        <f>(Z61+Z64+Z69+Z73+Z77+Z79)/6</f>
        <v>0.6222393044098441</v>
      </c>
      <c r="AA60" s="256">
        <f>+(AA61+AA64+AA69+AA73+AA77+AA79)</f>
        <v>0.30808632226094745</v>
      </c>
      <c r="AB60" s="256">
        <f>+(AB61*E61+AB64*E64+AB69*E69+AB73*E73+AB77*E77+AB79*E79)</f>
        <v>0.56432627484958808</v>
      </c>
      <c r="AC60" s="1105"/>
      <c r="AD60" s="602"/>
      <c r="AE60" s="602"/>
      <c r="AF60" s="602"/>
      <c r="AG60" s="602"/>
      <c r="AH60" s="602"/>
    </row>
    <row r="61" spans="1:35" ht="57" customHeight="1" thickBot="1" x14ac:dyDescent="0.4">
      <c r="A61" s="184"/>
      <c r="B61" s="1319" t="s">
        <v>1808</v>
      </c>
      <c r="C61" s="1333"/>
      <c r="D61" s="267"/>
      <c r="E61" s="268">
        <v>0.1</v>
      </c>
      <c r="F61" s="262"/>
      <c r="G61" s="192"/>
      <c r="H61" s="192"/>
      <c r="I61" s="198">
        <f>+AVERAGE(I62:I63)</f>
        <v>0.33333333333333331</v>
      </c>
      <c r="J61" s="198">
        <f>+AVERAGE(J62:J63)</f>
        <v>0.29166666666666663</v>
      </c>
      <c r="K61" s="198">
        <f>+K62+K63</f>
        <v>9.9999999999999992E-2</v>
      </c>
      <c r="L61" s="198">
        <f>+L62+L63</f>
        <v>0.27499999999999997</v>
      </c>
      <c r="M61" s="197"/>
      <c r="N61" s="197"/>
      <c r="O61" s="197"/>
      <c r="P61" s="197"/>
      <c r="Q61" s="197"/>
      <c r="R61" s="1218"/>
      <c r="S61" s="199"/>
      <c r="T61" s="197"/>
      <c r="U61" s="221">
        <f>+AVERAGE(U62:U63)</f>
        <v>0.9</v>
      </c>
      <c r="V61" s="221">
        <f>+AVERAGE(V62:V63)</f>
        <v>1</v>
      </c>
      <c r="W61" s="221">
        <f>+(W62+W63)*E61</f>
        <v>2.7000000000000003E-2</v>
      </c>
      <c r="X61" s="221">
        <f>+(X62+X63)*E61</f>
        <v>0.1</v>
      </c>
      <c r="Y61" s="198">
        <f>+AVERAGE(Y62:Y63)</f>
        <v>0.3</v>
      </c>
      <c r="Z61" s="198">
        <f>+Y61+((Z62-Y62)/2)+(Z63/2)</f>
        <v>0.59166666666666667</v>
      </c>
      <c r="AA61" s="258">
        <f>+(AA62+AA63)*E61</f>
        <v>8.9999999999999993E-3</v>
      </c>
      <c r="AB61" s="258">
        <f>+(AB62+AB63)</f>
        <v>0.36499999999999999</v>
      </c>
      <c r="AC61" s="1106"/>
      <c r="AD61" s="602"/>
      <c r="AE61" s="602"/>
      <c r="AF61" s="602"/>
      <c r="AG61" s="602"/>
      <c r="AH61" s="602"/>
    </row>
    <row r="62" spans="1:35" ht="90" customHeight="1" thickBot="1" x14ac:dyDescent="0.4">
      <c r="A62" s="184"/>
      <c r="B62" s="1001" t="s">
        <v>849</v>
      </c>
      <c r="C62" s="1011" t="s">
        <v>1304</v>
      </c>
      <c r="D62" s="260" t="s">
        <v>790</v>
      </c>
      <c r="E62" s="264">
        <v>0.3</v>
      </c>
      <c r="F62" s="262">
        <v>6</v>
      </c>
      <c r="G62" s="199">
        <v>2</v>
      </c>
      <c r="H62" s="199">
        <v>2</v>
      </c>
      <c r="I62" s="205">
        <f>+G62/F62</f>
        <v>0.33333333333333331</v>
      </c>
      <c r="J62" s="205">
        <f t="shared" ref="J62:J63" si="26">+H62/F62</f>
        <v>0.33333333333333331</v>
      </c>
      <c r="K62" s="205">
        <f>+(G62/F62)*E62</f>
        <v>9.9999999999999992E-2</v>
      </c>
      <c r="L62" s="205">
        <f t="shared" ref="L62:L81" si="27">+(H62/F62)*E62</f>
        <v>9.9999999999999992E-2</v>
      </c>
      <c r="M62" s="199">
        <v>1.8</v>
      </c>
      <c r="N62" s="608">
        <v>0.15</v>
      </c>
      <c r="O62" s="608">
        <v>0.9</v>
      </c>
      <c r="P62" s="608">
        <v>0.5</v>
      </c>
      <c r="Q62" s="608">
        <v>0</v>
      </c>
      <c r="R62" s="608">
        <v>0.45</v>
      </c>
      <c r="S62" s="199">
        <f t="shared" si="5"/>
        <v>2</v>
      </c>
      <c r="T62" s="199">
        <f>+S62+M62</f>
        <v>3.8</v>
      </c>
      <c r="U62" s="223">
        <f>+(M62/G62)</f>
        <v>0.9</v>
      </c>
      <c r="V62" s="223">
        <f>+S62/H62</f>
        <v>1</v>
      </c>
      <c r="W62" s="223">
        <f>+U62*E62</f>
        <v>0.27</v>
      </c>
      <c r="X62" s="223">
        <f>+V62*E62</f>
        <v>0.3</v>
      </c>
      <c r="Y62" s="223">
        <f>+M62/F62</f>
        <v>0.3</v>
      </c>
      <c r="Z62" s="266">
        <f>+T62/F62</f>
        <v>0.6333333333333333</v>
      </c>
      <c r="AA62" s="266">
        <f>+Y62*E62</f>
        <v>0.09</v>
      </c>
      <c r="AB62" s="266">
        <f>+Z62*E62</f>
        <v>0.18999999999999997</v>
      </c>
      <c r="AC62" s="636" t="s">
        <v>1850</v>
      </c>
      <c r="AD62" s="643" t="s">
        <v>1893</v>
      </c>
      <c r="AE62" s="643" t="s">
        <v>2276</v>
      </c>
      <c r="AF62" s="637" t="s">
        <v>2296</v>
      </c>
      <c r="AG62" s="602"/>
      <c r="AH62" s="637" t="s">
        <v>2448</v>
      </c>
      <c r="AI62" s="637" t="s">
        <v>2567</v>
      </c>
    </row>
    <row r="63" spans="1:35" ht="88.2" customHeight="1" thickBot="1" x14ac:dyDescent="0.4">
      <c r="A63" s="184"/>
      <c r="B63" s="1001" t="s">
        <v>850</v>
      </c>
      <c r="C63" s="1011" t="s">
        <v>1305</v>
      </c>
      <c r="D63" s="260" t="s">
        <v>1543</v>
      </c>
      <c r="E63" s="264">
        <v>0.7</v>
      </c>
      <c r="F63" s="262">
        <v>1</v>
      </c>
      <c r="G63" s="199">
        <v>0</v>
      </c>
      <c r="H63" s="199">
        <v>0.25</v>
      </c>
      <c r="I63" s="205"/>
      <c r="J63" s="205">
        <f t="shared" si="26"/>
        <v>0.25</v>
      </c>
      <c r="K63" s="205"/>
      <c r="L63" s="205">
        <f t="shared" si="27"/>
        <v>0.17499999999999999</v>
      </c>
      <c r="M63" s="199"/>
      <c r="N63" s="608">
        <v>0</v>
      </c>
      <c r="O63" s="608">
        <v>0.02</v>
      </c>
      <c r="P63" s="608">
        <v>0.08</v>
      </c>
      <c r="Q63" s="608">
        <v>0.09</v>
      </c>
      <c r="R63" s="608">
        <v>0.06</v>
      </c>
      <c r="S63" s="199">
        <f t="shared" si="5"/>
        <v>0.25</v>
      </c>
      <c r="T63" s="199">
        <f>+S63+M63</f>
        <v>0.25</v>
      </c>
      <c r="U63" s="223"/>
      <c r="V63" s="223">
        <f>+S63/H63</f>
        <v>1</v>
      </c>
      <c r="W63" s="223"/>
      <c r="X63" s="223">
        <f>+V63*E63</f>
        <v>0.7</v>
      </c>
      <c r="Y63" s="223"/>
      <c r="Z63" s="266">
        <f>+T63/F63</f>
        <v>0.25</v>
      </c>
      <c r="AA63" s="266">
        <v>0</v>
      </c>
      <c r="AB63" s="266">
        <f>+Z63*E63</f>
        <v>0.17499999999999999</v>
      </c>
      <c r="AC63" s="636" t="s">
        <v>1850</v>
      </c>
      <c r="AD63" s="719" t="s">
        <v>1920</v>
      </c>
      <c r="AE63" s="643" t="s">
        <v>2276</v>
      </c>
      <c r="AF63" s="637" t="s">
        <v>2296</v>
      </c>
      <c r="AG63" s="637" t="s">
        <v>2413</v>
      </c>
      <c r="AH63" s="637" t="s">
        <v>2448</v>
      </c>
      <c r="AI63" s="637" t="s">
        <v>2567</v>
      </c>
    </row>
    <row r="64" spans="1:35" ht="42.75" customHeight="1" thickBot="1" x14ac:dyDescent="0.4">
      <c r="A64" s="184"/>
      <c r="B64" s="1319" t="s">
        <v>1733</v>
      </c>
      <c r="C64" s="1333"/>
      <c r="D64" s="267"/>
      <c r="E64" s="268">
        <v>0.15</v>
      </c>
      <c r="F64" s="262"/>
      <c r="G64" s="192"/>
      <c r="H64" s="192"/>
      <c r="I64" s="198">
        <f>+AVERAGE(I65:I68)</f>
        <v>0.23295454545454547</v>
      </c>
      <c r="J64" s="198">
        <f>+AVERAGE(J65:J68)</f>
        <v>0.25568181818181818</v>
      </c>
      <c r="K64" s="198">
        <f>+K65+K66+K67+K68</f>
        <v>0.22954545454545455</v>
      </c>
      <c r="L64" s="198">
        <f>+L65+L66+L67+L68</f>
        <v>0.25681818181818178</v>
      </c>
      <c r="M64" s="197"/>
      <c r="N64" s="197"/>
      <c r="O64" s="197"/>
      <c r="P64" s="197"/>
      <c r="Q64" s="197"/>
      <c r="R64" s="1218"/>
      <c r="S64" s="199"/>
      <c r="T64" s="197"/>
      <c r="U64" s="221">
        <f>+AVERAGE(U65:U68)</f>
        <v>1</v>
      </c>
      <c r="V64" s="221">
        <f>+AVERAGE(V65:V68)</f>
        <v>1</v>
      </c>
      <c r="W64" s="221">
        <f>+(W65+W66+W67+W68)*E64</f>
        <v>0.15</v>
      </c>
      <c r="X64" s="221">
        <f>+(X65+X66+X67+X68)*E64</f>
        <v>0.15</v>
      </c>
      <c r="Y64" s="198">
        <f>+AVERAGE(Y65:Y68)</f>
        <v>0.32170454545454552</v>
      </c>
      <c r="Z64" s="198">
        <f>+AVERAGE(Z65:Z68)</f>
        <v>0.67886363636363634</v>
      </c>
      <c r="AA64" s="258">
        <f>+(AA65+AA66+AA67+AA68)*E64</f>
        <v>4.8156818181818176E-2</v>
      </c>
      <c r="AB64" s="258">
        <f>+(AB65+AB66+AB67+AB68)</f>
        <v>0.69763636363636361</v>
      </c>
      <c r="AC64" s="1106"/>
      <c r="AD64" s="602"/>
      <c r="AE64" s="602"/>
      <c r="AF64" s="602"/>
      <c r="AG64" s="602"/>
      <c r="AH64" s="602"/>
    </row>
    <row r="65" spans="1:35" ht="75.599999999999994" customHeight="1" thickBot="1" x14ac:dyDescent="0.4">
      <c r="A65" s="184"/>
      <c r="B65" s="930" t="s">
        <v>851</v>
      </c>
      <c r="C65" s="931" t="s">
        <v>1306</v>
      </c>
      <c r="D65" s="260" t="s">
        <v>852</v>
      </c>
      <c r="E65" s="264">
        <v>0.3</v>
      </c>
      <c r="F65" s="262">
        <v>1</v>
      </c>
      <c r="G65" s="272">
        <v>0.25</v>
      </c>
      <c r="H65" s="272">
        <v>0.25</v>
      </c>
      <c r="I65" s="205">
        <f>+G65/F65</f>
        <v>0.25</v>
      </c>
      <c r="J65" s="205">
        <f t="shared" ref="J65:J68" si="28">+H65/F65</f>
        <v>0.25</v>
      </c>
      <c r="K65" s="205">
        <f>+(G65/F65)*E65</f>
        <v>7.4999999999999997E-2</v>
      </c>
      <c r="L65" s="205">
        <f t="shared" si="27"/>
        <v>7.4999999999999997E-2</v>
      </c>
      <c r="M65" s="277">
        <v>0.45500000000000002</v>
      </c>
      <c r="N65" s="609">
        <v>0.13</v>
      </c>
      <c r="O65" s="609">
        <v>0.18</v>
      </c>
      <c r="P65" s="609">
        <v>0.21</v>
      </c>
      <c r="Q65" s="277"/>
      <c r="R65" s="277"/>
      <c r="S65" s="1039">
        <f t="shared" si="5"/>
        <v>0.52</v>
      </c>
      <c r="T65" s="277">
        <f>+S65+M65</f>
        <v>0.97500000000000009</v>
      </c>
      <c r="U65" s="223">
        <v>1</v>
      </c>
      <c r="V65" s="223">
        <v>1</v>
      </c>
      <c r="W65" s="223">
        <f>+U65*E65</f>
        <v>0.3</v>
      </c>
      <c r="X65" s="223">
        <f>+V65*E65</f>
        <v>0.3</v>
      </c>
      <c r="Y65" s="223">
        <f>+M65/F65</f>
        <v>0.45500000000000002</v>
      </c>
      <c r="Z65" s="266">
        <v>1</v>
      </c>
      <c r="AA65" s="266">
        <f>+Y65*E65</f>
        <v>0.13650000000000001</v>
      </c>
      <c r="AB65" s="266">
        <f>+Z65*E65</f>
        <v>0.3</v>
      </c>
      <c r="AC65" s="636" t="s">
        <v>1850</v>
      </c>
      <c r="AD65" s="643" t="s">
        <v>1893</v>
      </c>
      <c r="AE65" s="637" t="s">
        <v>2284</v>
      </c>
      <c r="AF65" s="637" t="s">
        <v>2296</v>
      </c>
      <c r="AG65" s="639" t="s">
        <v>1865</v>
      </c>
      <c r="AH65" s="607" t="s">
        <v>2469</v>
      </c>
      <c r="AI65" s="607" t="s">
        <v>2469</v>
      </c>
    </row>
    <row r="66" spans="1:35" ht="145.19999999999999" customHeight="1" thickBot="1" x14ac:dyDescent="0.4">
      <c r="A66" s="184"/>
      <c r="B66" s="1012" t="s">
        <v>853</v>
      </c>
      <c r="C66" s="1013" t="s">
        <v>1307</v>
      </c>
      <c r="D66" s="260" t="s">
        <v>1553</v>
      </c>
      <c r="E66" s="264">
        <v>0.2</v>
      </c>
      <c r="F66" s="262">
        <v>4</v>
      </c>
      <c r="G66" s="272">
        <v>1</v>
      </c>
      <c r="H66" s="272">
        <v>1</v>
      </c>
      <c r="I66" s="278">
        <f>+G66/F66</f>
        <v>0.25</v>
      </c>
      <c r="J66" s="278">
        <f t="shared" si="28"/>
        <v>0.25</v>
      </c>
      <c r="K66" s="278">
        <f>+(G66/F66)*E66</f>
        <v>0.05</v>
      </c>
      <c r="L66" s="278">
        <f t="shared" si="27"/>
        <v>0.05</v>
      </c>
      <c r="M66" s="277">
        <v>1</v>
      </c>
      <c r="N66" s="609">
        <v>0.05</v>
      </c>
      <c r="O66" s="609">
        <v>0.02</v>
      </c>
      <c r="P66" s="609">
        <v>0.91</v>
      </c>
      <c r="Q66" s="609">
        <v>0.02</v>
      </c>
      <c r="R66" s="609">
        <v>0</v>
      </c>
      <c r="S66" s="277">
        <f t="shared" si="5"/>
        <v>1</v>
      </c>
      <c r="T66" s="277">
        <f>+S66+M66</f>
        <v>2</v>
      </c>
      <c r="U66" s="223">
        <f>+(M66/G66)</f>
        <v>1</v>
      </c>
      <c r="V66" s="223">
        <f>+S66/H66</f>
        <v>1</v>
      </c>
      <c r="W66" s="223">
        <f>+U66*E66</f>
        <v>0.2</v>
      </c>
      <c r="X66" s="223">
        <f>+V66*E66</f>
        <v>0.2</v>
      </c>
      <c r="Y66" s="223">
        <f>+M66/F66</f>
        <v>0.25</v>
      </c>
      <c r="Z66" s="266">
        <f>+T66/F66</f>
        <v>0.5</v>
      </c>
      <c r="AA66" s="266">
        <f>+Y66*E66</f>
        <v>0.05</v>
      </c>
      <c r="AB66" s="266">
        <f>+Z66*E66</f>
        <v>0.1</v>
      </c>
      <c r="AC66" s="636" t="s">
        <v>1850</v>
      </c>
      <c r="AD66" s="643" t="s">
        <v>1893</v>
      </c>
      <c r="AE66" s="637" t="s">
        <v>2284</v>
      </c>
      <c r="AF66" s="637" t="s">
        <v>2296</v>
      </c>
      <c r="AG66" s="637" t="s">
        <v>2413</v>
      </c>
      <c r="AH66" s="637" t="s">
        <v>2448</v>
      </c>
      <c r="AI66" s="637" t="s">
        <v>2567</v>
      </c>
    </row>
    <row r="67" spans="1:35" ht="85.2" customHeight="1" thickBot="1" x14ac:dyDescent="0.4">
      <c r="A67" s="184"/>
      <c r="B67" s="1012" t="s">
        <v>854</v>
      </c>
      <c r="C67" s="1013" t="s">
        <v>1308</v>
      </c>
      <c r="D67" s="260" t="s">
        <v>852</v>
      </c>
      <c r="E67" s="264">
        <v>0.3</v>
      </c>
      <c r="F67" s="262">
        <v>33</v>
      </c>
      <c r="G67" s="199">
        <v>6</v>
      </c>
      <c r="H67" s="199">
        <v>9</v>
      </c>
      <c r="I67" s="205">
        <f>+G67/F67</f>
        <v>0.18181818181818182</v>
      </c>
      <c r="J67" s="205">
        <f t="shared" si="28"/>
        <v>0.27272727272727271</v>
      </c>
      <c r="K67" s="205">
        <f>+(G67/F67)*E67</f>
        <v>5.4545454545454543E-2</v>
      </c>
      <c r="L67" s="205">
        <f t="shared" si="27"/>
        <v>8.1818181818181804E-2</v>
      </c>
      <c r="M67" s="235">
        <v>6</v>
      </c>
      <c r="N67" s="609">
        <v>2</v>
      </c>
      <c r="O67" s="609">
        <v>0.5</v>
      </c>
      <c r="P67" s="609">
        <v>0.5</v>
      </c>
      <c r="Q67" s="609">
        <v>0</v>
      </c>
      <c r="R67" s="609">
        <v>9</v>
      </c>
      <c r="S67" s="235">
        <f t="shared" si="5"/>
        <v>12</v>
      </c>
      <c r="T67" s="235">
        <f>+S67+M67</f>
        <v>18</v>
      </c>
      <c r="U67" s="223">
        <f>+(M67/G67)</f>
        <v>1</v>
      </c>
      <c r="V67" s="223">
        <v>1</v>
      </c>
      <c r="W67" s="223">
        <f>+U67*E67</f>
        <v>0.3</v>
      </c>
      <c r="X67" s="223">
        <f>+V67*E67</f>
        <v>0.3</v>
      </c>
      <c r="Y67" s="223">
        <f>+M67/F67</f>
        <v>0.18181818181818182</v>
      </c>
      <c r="Z67" s="266">
        <f>+T67/F67</f>
        <v>0.54545454545454541</v>
      </c>
      <c r="AA67" s="266">
        <f>+Y67*E67</f>
        <v>5.4545454545454543E-2</v>
      </c>
      <c r="AB67" s="266">
        <f>+Z67*E67</f>
        <v>0.16363636363636361</v>
      </c>
      <c r="AC67" s="636" t="s">
        <v>1850</v>
      </c>
      <c r="AD67" s="643" t="s">
        <v>1893</v>
      </c>
      <c r="AE67" s="637" t="s">
        <v>2284</v>
      </c>
      <c r="AF67" s="637" t="s">
        <v>2296</v>
      </c>
      <c r="AG67" s="637" t="s">
        <v>2413</v>
      </c>
      <c r="AH67" s="607" t="s">
        <v>2469</v>
      </c>
      <c r="AI67" s="637" t="s">
        <v>2567</v>
      </c>
    </row>
    <row r="68" spans="1:35" ht="90" customHeight="1" thickBot="1" x14ac:dyDescent="0.4">
      <c r="A68" s="184"/>
      <c r="B68" s="930" t="s">
        <v>855</v>
      </c>
      <c r="C68" s="931" t="s">
        <v>1309</v>
      </c>
      <c r="D68" s="260" t="s">
        <v>852</v>
      </c>
      <c r="E68" s="264">
        <v>0.2</v>
      </c>
      <c r="F68" s="262">
        <v>1</v>
      </c>
      <c r="G68" s="279">
        <v>0.25</v>
      </c>
      <c r="H68" s="279">
        <v>0.25</v>
      </c>
      <c r="I68" s="205">
        <f>+G68/F68</f>
        <v>0.25</v>
      </c>
      <c r="J68" s="205">
        <f t="shared" si="28"/>
        <v>0.25</v>
      </c>
      <c r="K68" s="205">
        <f>+(G68/F68)*E68</f>
        <v>0.05</v>
      </c>
      <c r="L68" s="205">
        <f t="shared" si="27"/>
        <v>0.05</v>
      </c>
      <c r="M68" s="235">
        <v>0.4</v>
      </c>
      <c r="N68" s="609">
        <v>0.02</v>
      </c>
      <c r="O68" s="609">
        <v>0</v>
      </c>
      <c r="P68" s="609">
        <v>0.24</v>
      </c>
      <c r="Q68" s="609">
        <v>0</v>
      </c>
      <c r="R68" s="609">
        <v>0.01</v>
      </c>
      <c r="S68" s="235">
        <f t="shared" si="5"/>
        <v>0.27</v>
      </c>
      <c r="T68" s="235">
        <f>+S68+M68</f>
        <v>0.67</v>
      </c>
      <c r="U68" s="223">
        <v>1</v>
      </c>
      <c r="V68" s="223">
        <v>1</v>
      </c>
      <c r="W68" s="223">
        <f>+U68*E68</f>
        <v>0.2</v>
      </c>
      <c r="X68" s="223">
        <f>+V68*E68</f>
        <v>0.2</v>
      </c>
      <c r="Y68" s="223">
        <f>+M68/F68</f>
        <v>0.4</v>
      </c>
      <c r="Z68" s="266">
        <f>+T68/F68</f>
        <v>0.67</v>
      </c>
      <c r="AA68" s="266">
        <f>+Y68*E68</f>
        <v>8.0000000000000016E-2</v>
      </c>
      <c r="AB68" s="266">
        <f>+Z68*E68</f>
        <v>0.13400000000000001</v>
      </c>
      <c r="AC68" s="636" t="s">
        <v>1850</v>
      </c>
      <c r="AD68" s="643" t="s">
        <v>1893</v>
      </c>
      <c r="AE68" s="637" t="s">
        <v>2284</v>
      </c>
      <c r="AF68" s="637" t="s">
        <v>2296</v>
      </c>
      <c r="AG68" s="639" t="s">
        <v>1865</v>
      </c>
      <c r="AH68" s="607" t="s">
        <v>2469</v>
      </c>
      <c r="AI68" s="607" t="s">
        <v>2571</v>
      </c>
    </row>
    <row r="69" spans="1:35" ht="28.5" customHeight="1" thickBot="1" x14ac:dyDescent="0.4">
      <c r="A69" s="184"/>
      <c r="B69" s="1319" t="s">
        <v>1809</v>
      </c>
      <c r="C69" s="1333"/>
      <c r="D69" s="267"/>
      <c r="E69" s="268">
        <v>0.15</v>
      </c>
      <c r="F69" s="262"/>
      <c r="G69" s="192"/>
      <c r="H69" s="192"/>
      <c r="I69" s="198">
        <f>+AVERAGE(I70:I72)</f>
        <v>0.26306543697848045</v>
      </c>
      <c r="J69" s="198">
        <f>+AVERAGE(J70:J72)</f>
        <v>0.29907773386034253</v>
      </c>
      <c r="K69" s="198">
        <f>+K70+K71+K72</f>
        <v>0.30629776021080368</v>
      </c>
      <c r="L69" s="198">
        <f>+L70+L71+L72</f>
        <v>0.31665349143610011</v>
      </c>
      <c r="M69" s="197"/>
      <c r="N69" s="197"/>
      <c r="O69" s="197"/>
      <c r="P69" s="197"/>
      <c r="Q69" s="197"/>
      <c r="R69" s="1218"/>
      <c r="S69" s="199"/>
      <c r="T69" s="197"/>
      <c r="U69" s="221">
        <f>+AVERAGE(U70:U72)</f>
        <v>1</v>
      </c>
      <c r="V69" s="221">
        <f>+AVERAGE(V70:V72)</f>
        <v>0.94444444444444453</v>
      </c>
      <c r="W69" s="221">
        <f>+(W70+W71+W72)*E69</f>
        <v>0.15</v>
      </c>
      <c r="X69" s="221">
        <f>+(X70+X71+X72)*E69</f>
        <v>0.14549999999999999</v>
      </c>
      <c r="Y69" s="198">
        <f>+AVERAGE(Y70:Y72)</f>
        <v>0.38614404918752743</v>
      </c>
      <c r="Z69" s="198">
        <f>+AVERAGE(Z70:Z72)</f>
        <v>0.74396135265700469</v>
      </c>
      <c r="AA69" s="258">
        <f>+(AA70+AA71+AA72)*E69</f>
        <v>5.2982213438735173E-2</v>
      </c>
      <c r="AB69" s="258">
        <f>+(AB70+AB71+AB72)</f>
        <v>0.68840579710144922</v>
      </c>
      <c r="AC69" s="1106"/>
      <c r="AD69" s="602"/>
      <c r="AE69" s="602"/>
      <c r="AF69" s="602"/>
      <c r="AG69" s="602"/>
      <c r="AH69" s="602"/>
    </row>
    <row r="70" spans="1:35" ht="129" customHeight="1" thickBot="1" x14ac:dyDescent="0.4">
      <c r="A70" s="184"/>
      <c r="B70" s="1012" t="s">
        <v>856</v>
      </c>
      <c r="C70" s="1013" t="s">
        <v>1310</v>
      </c>
      <c r="D70" s="273" t="s">
        <v>1554</v>
      </c>
      <c r="E70" s="264">
        <v>0.18</v>
      </c>
      <c r="F70" s="262">
        <v>23</v>
      </c>
      <c r="G70" s="199">
        <f>2+5</f>
        <v>7</v>
      </c>
      <c r="H70" s="199">
        <f>2+4</f>
        <v>6</v>
      </c>
      <c r="I70" s="205">
        <f>+G70/F70</f>
        <v>0.30434782608695654</v>
      </c>
      <c r="J70" s="205">
        <f t="shared" ref="J70:J72" si="29">+H70/F70</f>
        <v>0.2608695652173913</v>
      </c>
      <c r="K70" s="205">
        <f>+(G70/F70)*E70</f>
        <v>5.4782608695652178E-2</v>
      </c>
      <c r="L70" s="205">
        <f t="shared" si="27"/>
        <v>4.6956521739130432E-2</v>
      </c>
      <c r="M70" s="199">
        <v>8</v>
      </c>
      <c r="N70" s="608">
        <v>3</v>
      </c>
      <c r="O70" s="609">
        <v>1</v>
      </c>
      <c r="P70" s="608">
        <v>1</v>
      </c>
      <c r="Q70" s="608">
        <v>0</v>
      </c>
      <c r="R70" s="608">
        <v>0</v>
      </c>
      <c r="S70" s="199">
        <f t="shared" si="5"/>
        <v>5</v>
      </c>
      <c r="T70" s="199">
        <f>+S70+M70</f>
        <v>13</v>
      </c>
      <c r="U70" s="223">
        <v>1</v>
      </c>
      <c r="V70" s="223">
        <f>+S70/H70</f>
        <v>0.83333333333333337</v>
      </c>
      <c r="W70" s="223">
        <f>+U70*E70</f>
        <v>0.18</v>
      </c>
      <c r="X70" s="223">
        <f>+V70*E70</f>
        <v>0.15</v>
      </c>
      <c r="Y70" s="223">
        <f>+M70/F70</f>
        <v>0.34782608695652173</v>
      </c>
      <c r="Z70" s="266">
        <f>+T70/F70</f>
        <v>0.56521739130434778</v>
      </c>
      <c r="AA70" s="266">
        <f>+Y70*E70</f>
        <v>6.2608695652173904E-2</v>
      </c>
      <c r="AB70" s="266">
        <f>+Z70*E70</f>
        <v>0.1017391304347826</v>
      </c>
      <c r="AC70" s="1108" t="s">
        <v>1868</v>
      </c>
      <c r="AD70" s="766" t="s">
        <v>1973</v>
      </c>
      <c r="AE70" s="637" t="s">
        <v>2284</v>
      </c>
      <c r="AF70" s="1100" t="s">
        <v>2437</v>
      </c>
      <c r="AG70" s="607" t="s">
        <v>2438</v>
      </c>
      <c r="AH70" s="607" t="s">
        <v>2470</v>
      </c>
      <c r="AI70" s="766" t="s">
        <v>2578</v>
      </c>
    </row>
    <row r="71" spans="1:35" ht="85.95" customHeight="1" thickBot="1" x14ac:dyDescent="0.4">
      <c r="A71" s="184"/>
      <c r="B71" s="1012" t="s">
        <v>857</v>
      </c>
      <c r="C71" s="1013" t="s">
        <v>1311</v>
      </c>
      <c r="D71" s="260" t="s">
        <v>852</v>
      </c>
      <c r="E71" s="264">
        <v>0.12</v>
      </c>
      <c r="F71" s="262">
        <v>132</v>
      </c>
      <c r="G71" s="199">
        <v>20</v>
      </c>
      <c r="H71" s="199">
        <v>40</v>
      </c>
      <c r="I71" s="205">
        <f>+G71/F71</f>
        <v>0.15151515151515152</v>
      </c>
      <c r="J71" s="205">
        <f t="shared" si="29"/>
        <v>0.30303030303030304</v>
      </c>
      <c r="K71" s="205">
        <f>+(G71/F71)*E71</f>
        <v>1.8181818181818181E-2</v>
      </c>
      <c r="L71" s="205">
        <f t="shared" si="27"/>
        <v>3.6363636363636362E-2</v>
      </c>
      <c r="M71" s="199">
        <v>63</v>
      </c>
      <c r="N71" s="608">
        <v>17</v>
      </c>
      <c r="O71" s="608">
        <v>29</v>
      </c>
      <c r="P71" s="608">
        <v>32</v>
      </c>
      <c r="Q71" s="608">
        <v>6</v>
      </c>
      <c r="R71" s="608">
        <v>0</v>
      </c>
      <c r="S71" s="199">
        <f t="shared" ref="S71:S103" si="30">+N71+O71+P71+Q71+R71</f>
        <v>84</v>
      </c>
      <c r="T71" s="199">
        <f>+S71+M71</f>
        <v>147</v>
      </c>
      <c r="U71" s="223">
        <v>1</v>
      </c>
      <c r="V71" s="223">
        <v>1</v>
      </c>
      <c r="W71" s="223">
        <f>+U71*E71</f>
        <v>0.12</v>
      </c>
      <c r="X71" s="223">
        <f>+V71*E71</f>
        <v>0.12</v>
      </c>
      <c r="Y71" s="223">
        <f>+M71/F71</f>
        <v>0.47727272727272729</v>
      </c>
      <c r="Z71" s="266">
        <v>1</v>
      </c>
      <c r="AA71" s="266">
        <f>+Y71*E71</f>
        <v>5.7272727272727274E-2</v>
      </c>
      <c r="AB71" s="266">
        <f>+Z71*E71</f>
        <v>0.12</v>
      </c>
      <c r="AC71" s="636" t="s">
        <v>1850</v>
      </c>
      <c r="AD71" s="637" t="s">
        <v>1893</v>
      </c>
      <c r="AE71" s="637" t="s">
        <v>2284</v>
      </c>
      <c r="AF71" s="637" t="s">
        <v>2296</v>
      </c>
      <c r="AG71" s="637" t="s">
        <v>2413</v>
      </c>
      <c r="AH71" s="637" t="s">
        <v>2448</v>
      </c>
      <c r="AI71" s="637" t="s">
        <v>2567</v>
      </c>
    </row>
    <row r="72" spans="1:35" s="656" customFormat="1" ht="70.2" customHeight="1" thickBot="1" x14ac:dyDescent="0.4">
      <c r="A72" s="767"/>
      <c r="B72" s="1001" t="s">
        <v>858</v>
      </c>
      <c r="C72" s="1011" t="s">
        <v>1312</v>
      </c>
      <c r="D72" s="260" t="s">
        <v>825</v>
      </c>
      <c r="E72" s="264">
        <v>0.7</v>
      </c>
      <c r="F72" s="262">
        <v>3</v>
      </c>
      <c r="G72" s="199">
        <v>1</v>
      </c>
      <c r="H72" s="199">
        <v>1</v>
      </c>
      <c r="I72" s="205">
        <f>+G72/F72</f>
        <v>0.33333333333333331</v>
      </c>
      <c r="J72" s="205">
        <f t="shared" si="29"/>
        <v>0.33333333333333331</v>
      </c>
      <c r="K72" s="205">
        <f>+(G72/F72)*E72</f>
        <v>0.23333333333333331</v>
      </c>
      <c r="L72" s="205">
        <f t="shared" si="27"/>
        <v>0.23333333333333331</v>
      </c>
      <c r="M72" s="199">
        <v>1</v>
      </c>
      <c r="N72" s="608">
        <v>1</v>
      </c>
      <c r="O72" s="608">
        <v>0</v>
      </c>
      <c r="P72" s="608">
        <v>0</v>
      </c>
      <c r="Q72" s="608">
        <v>0</v>
      </c>
      <c r="R72" s="608">
        <v>0</v>
      </c>
      <c r="S72" s="199">
        <f t="shared" si="30"/>
        <v>1</v>
      </c>
      <c r="T72" s="199">
        <f>+S72+M72</f>
        <v>2</v>
      </c>
      <c r="U72" s="223">
        <f>+(M72/G72)</f>
        <v>1</v>
      </c>
      <c r="V72" s="223">
        <f>+S72/H72</f>
        <v>1</v>
      </c>
      <c r="W72" s="223">
        <f>+U72*E72</f>
        <v>0.7</v>
      </c>
      <c r="X72" s="223">
        <f>+V72*E72</f>
        <v>0.7</v>
      </c>
      <c r="Y72" s="223">
        <f>+M72/F72</f>
        <v>0.33333333333333331</v>
      </c>
      <c r="Z72" s="266">
        <f>+T72/F72</f>
        <v>0.66666666666666663</v>
      </c>
      <c r="AA72" s="266">
        <f>+Y72*E72</f>
        <v>0.23333333333333331</v>
      </c>
      <c r="AB72" s="266">
        <f>+Z72*E72</f>
        <v>0.46666666666666662</v>
      </c>
      <c r="AC72" s="1109" t="s">
        <v>1850</v>
      </c>
      <c r="AD72" s="768"/>
      <c r="AE72" s="768"/>
      <c r="AF72" s="637" t="s">
        <v>2296</v>
      </c>
      <c r="AG72" s="637" t="s">
        <v>2413</v>
      </c>
      <c r="AH72" s="637" t="s">
        <v>2448</v>
      </c>
      <c r="AI72" s="637" t="s">
        <v>2567</v>
      </c>
    </row>
    <row r="73" spans="1:35" ht="28.5" customHeight="1" thickBot="1" x14ac:dyDescent="0.4">
      <c r="A73" s="184"/>
      <c r="B73" s="1319" t="s">
        <v>1735</v>
      </c>
      <c r="C73" s="1333"/>
      <c r="D73" s="267"/>
      <c r="E73" s="268">
        <v>0.2</v>
      </c>
      <c r="F73" s="262"/>
      <c r="G73" s="192"/>
      <c r="H73" s="192"/>
      <c r="I73" s="198">
        <f>+AVERAGE(I74:I76)</f>
        <v>0.25</v>
      </c>
      <c r="J73" s="198">
        <f>+AVERAGE(J74:J76)</f>
        <v>0.25</v>
      </c>
      <c r="K73" s="198">
        <f>+K74+K75+K76</f>
        <v>0.25</v>
      </c>
      <c r="L73" s="198">
        <f>+L74+L75+L76</f>
        <v>0.25</v>
      </c>
      <c r="M73" s="197"/>
      <c r="N73" s="197"/>
      <c r="O73" s="197"/>
      <c r="P73" s="197"/>
      <c r="Q73" s="197"/>
      <c r="R73" s="1218"/>
      <c r="S73" s="199"/>
      <c r="T73" s="197"/>
      <c r="U73" s="221">
        <f>+AVERAGE(U74:U76)</f>
        <v>0.75190804597701144</v>
      </c>
      <c r="V73" s="221">
        <f>+AVERAGE(V74:V76)</f>
        <v>0.93733333333333346</v>
      </c>
      <c r="W73" s="221">
        <f>+(W74+W75+W76)*E73</f>
        <v>0.13870344827586209</v>
      </c>
      <c r="X73" s="221">
        <f>+(X74+X75+X76)*E73</f>
        <v>0.18120000000000003</v>
      </c>
      <c r="Y73" s="198">
        <f>+AVERAGE(Y74:Y76)</f>
        <v>0.35297701149425292</v>
      </c>
      <c r="Z73" s="198">
        <f>+AVERAGE(Z74:Z76)</f>
        <v>0.72822988505747122</v>
      </c>
      <c r="AA73" s="258">
        <f>+(AA74+AA75+AA76)*E73</f>
        <v>5.4475862068965514E-2</v>
      </c>
      <c r="AB73" s="258">
        <f>+(AB74+AB75+AB76)</f>
        <v>0.62520689655172412</v>
      </c>
      <c r="AC73" s="1106"/>
      <c r="AD73" s="602"/>
      <c r="AE73" s="602"/>
      <c r="AF73" s="602"/>
      <c r="AG73" s="602"/>
      <c r="AH73" s="602"/>
    </row>
    <row r="74" spans="1:35" ht="88.95" customHeight="1" thickBot="1" x14ac:dyDescent="0.4">
      <c r="A74" s="184"/>
      <c r="B74" s="1032" t="s">
        <v>859</v>
      </c>
      <c r="C74" s="1241" t="s">
        <v>1313</v>
      </c>
      <c r="D74" s="260" t="s">
        <v>852</v>
      </c>
      <c r="E74" s="264">
        <v>0.2</v>
      </c>
      <c r="F74" s="262">
        <v>1</v>
      </c>
      <c r="G74" s="280">
        <v>0.25</v>
      </c>
      <c r="H74" s="280">
        <v>0.25</v>
      </c>
      <c r="I74" s="205">
        <f>+G74/F74</f>
        <v>0.25</v>
      </c>
      <c r="J74" s="205">
        <f t="shared" ref="J74:J76" si="31">+H74/F74</f>
        <v>0.25</v>
      </c>
      <c r="K74" s="205">
        <f>+(G74/F74)*E74</f>
        <v>0.05</v>
      </c>
      <c r="L74" s="205">
        <f t="shared" si="27"/>
        <v>0.05</v>
      </c>
      <c r="M74" s="179">
        <v>0.745</v>
      </c>
      <c r="N74" s="610">
        <v>0.03</v>
      </c>
      <c r="O74" s="610">
        <v>0.01</v>
      </c>
      <c r="P74" s="610">
        <v>0</v>
      </c>
      <c r="Q74" s="610">
        <v>0.46</v>
      </c>
      <c r="R74" s="610">
        <v>3.5000000000000003E-2</v>
      </c>
      <c r="S74" s="179">
        <f t="shared" si="30"/>
        <v>0.53500000000000003</v>
      </c>
      <c r="T74" s="179">
        <f>+S74+M74</f>
        <v>1.28</v>
      </c>
      <c r="U74" s="223">
        <v>1</v>
      </c>
      <c r="V74" s="223">
        <v>1</v>
      </c>
      <c r="W74" s="223">
        <f>+U74*E74</f>
        <v>0.2</v>
      </c>
      <c r="X74" s="223">
        <f>+V74*E74</f>
        <v>0.2</v>
      </c>
      <c r="Y74" s="223">
        <f>+M74/F74</f>
        <v>0.745</v>
      </c>
      <c r="Z74" s="266">
        <v>1</v>
      </c>
      <c r="AA74" s="263">
        <f>+Y74*E74</f>
        <v>0.14899999999999999</v>
      </c>
      <c r="AB74" s="263">
        <f>+Z74*E74</f>
        <v>0.2</v>
      </c>
      <c r="AC74" s="636" t="s">
        <v>1850</v>
      </c>
      <c r="AD74" s="639" t="s">
        <v>1865</v>
      </c>
      <c r="AE74" s="637" t="s">
        <v>2284</v>
      </c>
      <c r="AF74" s="637" t="s">
        <v>2296</v>
      </c>
      <c r="AG74" s="607" t="s">
        <v>1865</v>
      </c>
      <c r="AH74" s="607" t="s">
        <v>1865</v>
      </c>
      <c r="AI74" s="607" t="s">
        <v>2572</v>
      </c>
    </row>
    <row r="75" spans="1:35" ht="78" customHeight="1" thickBot="1" x14ac:dyDescent="0.4">
      <c r="A75" s="184"/>
      <c r="B75" s="1012" t="s">
        <v>860</v>
      </c>
      <c r="C75" s="1013" t="s">
        <v>1314</v>
      </c>
      <c r="D75" s="260" t="s">
        <v>852</v>
      </c>
      <c r="E75" s="264">
        <v>0.5</v>
      </c>
      <c r="F75" s="262">
        <v>2000</v>
      </c>
      <c r="G75" s="280">
        <v>500</v>
      </c>
      <c r="H75" s="280">
        <v>500</v>
      </c>
      <c r="I75" s="205">
        <f>+G75/F75</f>
        <v>0.25</v>
      </c>
      <c r="J75" s="205">
        <f t="shared" si="31"/>
        <v>0.25</v>
      </c>
      <c r="K75" s="205">
        <f>+(G75/F75)*E75</f>
        <v>0.125</v>
      </c>
      <c r="L75" s="205">
        <f t="shared" si="27"/>
        <v>0.125</v>
      </c>
      <c r="M75" s="179">
        <v>292</v>
      </c>
      <c r="N75" s="610">
        <v>49</v>
      </c>
      <c r="O75" s="610">
        <v>81</v>
      </c>
      <c r="P75" s="610">
        <v>74</v>
      </c>
      <c r="Q75" s="610">
        <v>172</v>
      </c>
      <c r="R75" s="610">
        <v>30</v>
      </c>
      <c r="S75" s="179">
        <f t="shared" si="30"/>
        <v>406</v>
      </c>
      <c r="T75" s="179">
        <f>+S75+M75</f>
        <v>698</v>
      </c>
      <c r="U75" s="223">
        <f>+(M75/G75)</f>
        <v>0.58399999999999996</v>
      </c>
      <c r="V75" s="223">
        <f>+S75/H75</f>
        <v>0.81200000000000006</v>
      </c>
      <c r="W75" s="223">
        <f>+U75*E75</f>
        <v>0.29199999999999998</v>
      </c>
      <c r="X75" s="223">
        <f>+V75*E75</f>
        <v>0.40600000000000003</v>
      </c>
      <c r="Y75" s="223">
        <f>+M75/F75</f>
        <v>0.14599999999999999</v>
      </c>
      <c r="Z75" s="266">
        <f>+T75/F75</f>
        <v>0.34899999999999998</v>
      </c>
      <c r="AA75" s="263">
        <f>+Y75*E75</f>
        <v>7.2999999999999995E-2</v>
      </c>
      <c r="AB75" s="263">
        <f>+Z75*E75</f>
        <v>0.17449999999999999</v>
      </c>
      <c r="AC75" s="636" t="s">
        <v>1850</v>
      </c>
      <c r="AD75" s="637" t="s">
        <v>1893</v>
      </c>
      <c r="AE75" s="637" t="s">
        <v>2284</v>
      </c>
      <c r="AF75" s="637" t="s">
        <v>2296</v>
      </c>
      <c r="AG75" s="637" t="s">
        <v>2413</v>
      </c>
      <c r="AH75" s="607" t="s">
        <v>1865</v>
      </c>
      <c r="AI75" s="637" t="s">
        <v>2567</v>
      </c>
    </row>
    <row r="76" spans="1:35" ht="106.95" customHeight="1" thickBot="1" x14ac:dyDescent="0.4">
      <c r="A76" s="184"/>
      <c r="B76" s="1012" t="s">
        <v>861</v>
      </c>
      <c r="C76" s="1013" t="s">
        <v>1315</v>
      </c>
      <c r="D76" s="260" t="s">
        <v>852</v>
      </c>
      <c r="E76" s="264">
        <v>0.3</v>
      </c>
      <c r="F76" s="262">
        <f>1450*4</f>
        <v>5800</v>
      </c>
      <c r="G76" s="280">
        <v>1450</v>
      </c>
      <c r="H76" s="280">
        <v>1450</v>
      </c>
      <c r="I76" s="205">
        <f>+G76/F76</f>
        <v>0.25</v>
      </c>
      <c r="J76" s="205">
        <f t="shared" si="31"/>
        <v>0.25</v>
      </c>
      <c r="K76" s="205">
        <f>+(G76/F76)*E76</f>
        <v>7.4999999999999997E-2</v>
      </c>
      <c r="L76" s="205">
        <f t="shared" si="27"/>
        <v>7.4999999999999997E-2</v>
      </c>
      <c r="M76" s="179">
        <v>974</v>
      </c>
      <c r="N76" s="610">
        <v>974</v>
      </c>
      <c r="O76" s="610">
        <v>988</v>
      </c>
      <c r="P76" s="610">
        <v>968</v>
      </c>
      <c r="Q76" s="610">
        <v>91</v>
      </c>
      <c r="R76" s="610">
        <v>852</v>
      </c>
      <c r="S76" s="179">
        <f t="shared" si="30"/>
        <v>3873</v>
      </c>
      <c r="T76" s="179">
        <f>+S76+M76</f>
        <v>4847</v>
      </c>
      <c r="U76" s="223">
        <f>+(M76/G76)</f>
        <v>0.67172413793103447</v>
      </c>
      <c r="V76" s="223">
        <v>1</v>
      </c>
      <c r="W76" s="223">
        <f>+U76*E76</f>
        <v>0.20151724137931035</v>
      </c>
      <c r="X76" s="223">
        <f>+V76*E76</f>
        <v>0.3</v>
      </c>
      <c r="Y76" s="223">
        <f>+M76/F76</f>
        <v>0.16793103448275862</v>
      </c>
      <c r="Z76" s="266">
        <f>+T76/F76</f>
        <v>0.83568965517241378</v>
      </c>
      <c r="AA76" s="263">
        <f>+Y76*E76</f>
        <v>5.0379310344827587E-2</v>
      </c>
      <c r="AB76" s="263">
        <f>+Z76*E76</f>
        <v>0.25070689655172412</v>
      </c>
      <c r="AC76" s="636" t="s">
        <v>1850</v>
      </c>
      <c r="AD76" s="637" t="s">
        <v>1893</v>
      </c>
      <c r="AE76" s="637" t="s">
        <v>2284</v>
      </c>
      <c r="AF76" s="637" t="s">
        <v>2296</v>
      </c>
      <c r="AG76" s="607" t="s">
        <v>1865</v>
      </c>
      <c r="AH76" s="607" t="s">
        <v>1865</v>
      </c>
      <c r="AI76" s="637" t="s">
        <v>2567</v>
      </c>
    </row>
    <row r="77" spans="1:35" ht="28.5" customHeight="1" thickBot="1" x14ac:dyDescent="0.4">
      <c r="A77" s="184"/>
      <c r="B77" s="1319" t="s">
        <v>1810</v>
      </c>
      <c r="C77" s="1333"/>
      <c r="D77" s="267"/>
      <c r="E77" s="268">
        <v>0.25</v>
      </c>
      <c r="F77" s="262"/>
      <c r="G77" s="192"/>
      <c r="H77" s="192"/>
      <c r="I77" s="198">
        <f>+AVERAGE(I78)</f>
        <v>0.14285714285714285</v>
      </c>
      <c r="J77" s="198">
        <f>+AVERAGE(J78)</f>
        <v>0.17142857142857143</v>
      </c>
      <c r="K77" s="198">
        <f>+K78</f>
        <v>0.14285714285714285</v>
      </c>
      <c r="L77" s="198">
        <f>+L78</f>
        <v>0.17142857142857143</v>
      </c>
      <c r="M77" s="197"/>
      <c r="N77" s="197"/>
      <c r="O77" s="197"/>
      <c r="P77" s="197"/>
      <c r="Q77" s="197"/>
      <c r="R77" s="1218"/>
      <c r="S77" s="199"/>
      <c r="T77" s="197"/>
      <c r="U77" s="221">
        <f>+AVERAGE(U78)</f>
        <v>0.8</v>
      </c>
      <c r="V77" s="221">
        <f>+AVERAGE(V78)</f>
        <v>1</v>
      </c>
      <c r="W77" s="221">
        <f>+(W78)*E77</f>
        <v>0.2</v>
      </c>
      <c r="X77" s="221">
        <f>+(X78)*E77</f>
        <v>0.25</v>
      </c>
      <c r="Y77" s="198">
        <f>+AVERAGE(Y78)</f>
        <v>0.1142857142857143</v>
      </c>
      <c r="Z77" s="198">
        <f>+AVERAGE(Z78)</f>
        <v>0.2857142857142857</v>
      </c>
      <c r="AA77" s="258">
        <f>+(AA78)*E77</f>
        <v>2.8571428571428574E-2</v>
      </c>
      <c r="AB77" s="258">
        <f>+(AB78)</f>
        <v>0.2857142857142857</v>
      </c>
      <c r="AC77" s="1106"/>
      <c r="AD77" s="602"/>
      <c r="AE77" s="602"/>
      <c r="AF77" s="602"/>
      <c r="AG77" s="602"/>
      <c r="AH77" s="602"/>
    </row>
    <row r="78" spans="1:35" ht="67.2" customHeight="1" thickBot="1" x14ac:dyDescent="0.4">
      <c r="A78" s="184"/>
      <c r="B78" s="1001" t="s">
        <v>862</v>
      </c>
      <c r="C78" s="1011" t="s">
        <v>1316</v>
      </c>
      <c r="D78" s="267" t="s">
        <v>863</v>
      </c>
      <c r="E78" s="264">
        <v>1</v>
      </c>
      <c r="F78" s="262">
        <v>7</v>
      </c>
      <c r="G78" s="199">
        <v>1</v>
      </c>
      <c r="H78" s="199">
        <v>1.2</v>
      </c>
      <c r="I78" s="205">
        <f>+G78/F78</f>
        <v>0.14285714285714285</v>
      </c>
      <c r="J78" s="205">
        <f t="shared" ref="J78" si="32">+H78/F78</f>
        <v>0.17142857142857143</v>
      </c>
      <c r="K78" s="205">
        <f>+(G78/F78)*E78</f>
        <v>0.14285714285714285</v>
      </c>
      <c r="L78" s="205">
        <f t="shared" si="27"/>
        <v>0.17142857142857143</v>
      </c>
      <c r="M78" s="199">
        <v>0.8</v>
      </c>
      <c r="N78" s="608">
        <v>0.2</v>
      </c>
      <c r="O78" s="608">
        <v>0.1</v>
      </c>
      <c r="P78" s="608">
        <v>0.42</v>
      </c>
      <c r="Q78" s="608">
        <v>0.25</v>
      </c>
      <c r="R78" s="608">
        <v>0.22999999999999998</v>
      </c>
      <c r="S78" s="199">
        <f t="shared" si="30"/>
        <v>1.2</v>
      </c>
      <c r="T78" s="199">
        <f>+S78+M78</f>
        <v>2</v>
      </c>
      <c r="U78" s="223">
        <f>+(M78/G78)</f>
        <v>0.8</v>
      </c>
      <c r="V78" s="223">
        <f>+S78/H78</f>
        <v>1</v>
      </c>
      <c r="W78" s="223">
        <f>+U78*E78</f>
        <v>0.8</v>
      </c>
      <c r="X78" s="223">
        <f>+V78*E78</f>
        <v>1</v>
      </c>
      <c r="Y78" s="223">
        <f>+M78/F78</f>
        <v>0.1142857142857143</v>
      </c>
      <c r="Z78" s="266">
        <f>+T78/F78</f>
        <v>0.2857142857142857</v>
      </c>
      <c r="AA78" s="266">
        <f>+Y78*E78</f>
        <v>0.1142857142857143</v>
      </c>
      <c r="AB78" s="266">
        <f>+Z78*E78</f>
        <v>0.2857142857142857</v>
      </c>
      <c r="AC78" s="636" t="s">
        <v>1852</v>
      </c>
      <c r="AD78" s="637" t="s">
        <v>1893</v>
      </c>
      <c r="AE78" s="637" t="s">
        <v>2284</v>
      </c>
      <c r="AF78" s="637" t="s">
        <v>2296</v>
      </c>
      <c r="AG78" s="637" t="s">
        <v>2413</v>
      </c>
      <c r="AH78" s="637" t="s">
        <v>2448</v>
      </c>
      <c r="AI78" s="637" t="s">
        <v>2567</v>
      </c>
    </row>
    <row r="79" spans="1:35" ht="57" customHeight="1" thickBot="1" x14ac:dyDescent="0.4">
      <c r="A79" s="184"/>
      <c r="B79" s="1319" t="s">
        <v>1737</v>
      </c>
      <c r="C79" s="1333"/>
      <c r="D79" s="267"/>
      <c r="E79" s="268">
        <v>0.15</v>
      </c>
      <c r="F79" s="262"/>
      <c r="G79" s="192"/>
      <c r="H79" s="192"/>
      <c r="I79" s="198">
        <f>+AVERAGE(I80:I81)</f>
        <v>0.32500000000000001</v>
      </c>
      <c r="J79" s="198">
        <f>+AVERAGE(J80:J81)</f>
        <v>9.5000000000000001E-2</v>
      </c>
      <c r="K79" s="198">
        <f>+K80+K81</f>
        <v>0.35499999999999998</v>
      </c>
      <c r="L79" s="198">
        <f>+L80+L81</f>
        <v>6.5000000000000002E-2</v>
      </c>
      <c r="M79" s="197"/>
      <c r="N79" s="197"/>
      <c r="O79" s="197"/>
      <c r="P79" s="197"/>
      <c r="Q79" s="197"/>
      <c r="R79" s="1218"/>
      <c r="S79" s="199"/>
      <c r="T79" s="197"/>
      <c r="U79" s="221">
        <f>+AVERAGE(U80:U81)</f>
        <v>0.94</v>
      </c>
      <c r="V79" s="221">
        <f>+AVERAGE(V80:V81)</f>
        <v>1</v>
      </c>
      <c r="W79" s="221">
        <f>+(W80+W81)*E79</f>
        <v>0.14459999999999998</v>
      </c>
      <c r="X79" s="221">
        <f>+(X80+X81)*E79</f>
        <v>0.15</v>
      </c>
      <c r="Y79" s="198">
        <f>+AVERAGE(Y80:Y81)</f>
        <v>0.61</v>
      </c>
      <c r="Z79" s="198">
        <f>+AVERAGE(Z80:Z81)</f>
        <v>0.70499999999999996</v>
      </c>
      <c r="AA79" s="258">
        <f>+(AA80+AA81)*E79</f>
        <v>0.1149</v>
      </c>
      <c r="AB79" s="258">
        <f>+(AB80+AB81)</f>
        <v>0.82299999999999995</v>
      </c>
      <c r="AC79" s="1106"/>
      <c r="AD79" s="602"/>
      <c r="AE79" s="602"/>
      <c r="AF79" s="602"/>
      <c r="AG79" s="602"/>
      <c r="AH79" s="602"/>
    </row>
    <row r="80" spans="1:35" ht="117.6" customHeight="1" thickBot="1" x14ac:dyDescent="0.4">
      <c r="A80" s="184"/>
      <c r="B80" s="1012" t="s">
        <v>864</v>
      </c>
      <c r="C80" s="1013" t="s">
        <v>1317</v>
      </c>
      <c r="D80" s="267" t="s">
        <v>1541</v>
      </c>
      <c r="E80" s="264">
        <v>0.3</v>
      </c>
      <c r="F80" s="262">
        <v>1</v>
      </c>
      <c r="G80" s="199">
        <v>0.25</v>
      </c>
      <c r="H80" s="199">
        <v>0.17</v>
      </c>
      <c r="I80" s="205">
        <f>+G80/F80</f>
        <v>0.25</v>
      </c>
      <c r="J80" s="205">
        <f t="shared" ref="J80:J81" si="33">+H80/F80</f>
        <v>0.17</v>
      </c>
      <c r="K80" s="205">
        <f>+(G80/F80)*E80</f>
        <v>7.4999999999999997E-2</v>
      </c>
      <c r="L80" s="205">
        <f t="shared" si="27"/>
        <v>5.1000000000000004E-2</v>
      </c>
      <c r="M80" s="199">
        <v>0.22</v>
      </c>
      <c r="N80" s="608">
        <v>0.05</v>
      </c>
      <c r="O80" s="608">
        <v>0.12</v>
      </c>
      <c r="P80" s="608">
        <v>0</v>
      </c>
      <c r="Q80" s="608">
        <v>0</v>
      </c>
      <c r="R80" s="608">
        <v>0.02</v>
      </c>
      <c r="S80" s="199">
        <f t="shared" si="30"/>
        <v>0.18999999999999997</v>
      </c>
      <c r="T80" s="199">
        <f>+S80+M80</f>
        <v>0.41</v>
      </c>
      <c r="U80" s="223">
        <f>+(M80/G80)</f>
        <v>0.88</v>
      </c>
      <c r="V80" s="223">
        <v>1</v>
      </c>
      <c r="W80" s="223">
        <f>+U80*E80</f>
        <v>0.26400000000000001</v>
      </c>
      <c r="X80" s="223">
        <f>+V80*E80</f>
        <v>0.3</v>
      </c>
      <c r="Y80" s="223">
        <f>+M80/F80</f>
        <v>0.22</v>
      </c>
      <c r="Z80" s="266">
        <f>+T80/F80</f>
        <v>0.41</v>
      </c>
      <c r="AA80" s="266">
        <f>+Y80*E80</f>
        <v>6.6000000000000003E-2</v>
      </c>
      <c r="AB80" s="266">
        <f>+Z80*E80</f>
        <v>0.12299999999999998</v>
      </c>
      <c r="AC80" s="636" t="s">
        <v>1852</v>
      </c>
      <c r="AD80" s="637" t="s">
        <v>1893</v>
      </c>
      <c r="AE80" s="637" t="s">
        <v>2276</v>
      </c>
      <c r="AF80" s="637" t="s">
        <v>2296</v>
      </c>
      <c r="AG80" s="637" t="s">
        <v>2413</v>
      </c>
      <c r="AH80" s="637" t="s">
        <v>2448</v>
      </c>
      <c r="AI80" s="637" t="s">
        <v>2567</v>
      </c>
    </row>
    <row r="81" spans="1:35" ht="85.2" customHeight="1" thickBot="1" x14ac:dyDescent="0.4">
      <c r="A81" s="184"/>
      <c r="B81" s="1012" t="s">
        <v>865</v>
      </c>
      <c r="C81" s="1013" t="s">
        <v>1318</v>
      </c>
      <c r="D81" s="267" t="s">
        <v>1540</v>
      </c>
      <c r="E81" s="264">
        <v>0.7</v>
      </c>
      <c r="F81" s="262">
        <v>5</v>
      </c>
      <c r="G81" s="199">
        <v>2</v>
      </c>
      <c r="H81" s="272">
        <v>0.1</v>
      </c>
      <c r="I81" s="205">
        <f>+G81/F81</f>
        <v>0.4</v>
      </c>
      <c r="J81" s="205">
        <f t="shared" si="33"/>
        <v>0.02</v>
      </c>
      <c r="K81" s="205">
        <f>+(G81/F81)*E81</f>
        <v>0.27999999999999997</v>
      </c>
      <c r="L81" s="205">
        <f t="shared" si="27"/>
        <v>1.3999999999999999E-2</v>
      </c>
      <c r="M81" s="199">
        <v>5</v>
      </c>
      <c r="N81" s="608">
        <v>0.1</v>
      </c>
      <c r="O81" s="608">
        <v>0.1</v>
      </c>
      <c r="P81" s="608">
        <v>0</v>
      </c>
      <c r="Q81" s="608">
        <v>0</v>
      </c>
      <c r="R81" s="608">
        <v>0</v>
      </c>
      <c r="S81" s="199">
        <f t="shared" si="30"/>
        <v>0.2</v>
      </c>
      <c r="T81" s="199">
        <f>+S81+M81</f>
        <v>5.2</v>
      </c>
      <c r="U81" s="223">
        <v>1</v>
      </c>
      <c r="V81" s="223">
        <v>1</v>
      </c>
      <c r="W81" s="223">
        <f>+U81*E81</f>
        <v>0.7</v>
      </c>
      <c r="X81" s="223">
        <f>+V81*E81</f>
        <v>0.7</v>
      </c>
      <c r="Y81" s="223">
        <f>+M81/F81</f>
        <v>1</v>
      </c>
      <c r="Z81" s="266">
        <v>1</v>
      </c>
      <c r="AA81" s="266">
        <f>+Y81*E81</f>
        <v>0.7</v>
      </c>
      <c r="AB81" s="266">
        <f>+Z81*E81</f>
        <v>0.7</v>
      </c>
      <c r="AC81" s="1110" t="s">
        <v>1864</v>
      </c>
      <c r="AD81" s="639" t="s">
        <v>1865</v>
      </c>
      <c r="AE81" s="639" t="s">
        <v>1865</v>
      </c>
      <c r="AF81" s="637" t="s">
        <v>2296</v>
      </c>
      <c r="AG81" s="765" t="s">
        <v>2424</v>
      </c>
      <c r="AH81" s="637" t="s">
        <v>2448</v>
      </c>
      <c r="AI81" s="637" t="s">
        <v>2567</v>
      </c>
    </row>
    <row r="82" spans="1:35" ht="78" customHeight="1" thickBot="1" x14ac:dyDescent="0.4">
      <c r="A82" s="184"/>
      <c r="B82" s="1323" t="s">
        <v>1811</v>
      </c>
      <c r="C82" s="1333"/>
      <c r="D82" s="267"/>
      <c r="E82" s="270">
        <v>0.1</v>
      </c>
      <c r="F82" s="187">
        <f>+E82*W82</f>
        <v>2.0506728571428573E-2</v>
      </c>
      <c r="G82" s="192"/>
      <c r="H82" s="188">
        <f>+E82*X82</f>
        <v>5.6500921428571438E-2</v>
      </c>
      <c r="I82" s="190">
        <f>+(I83+I91+I95)/3</f>
        <v>0.23703703703703705</v>
      </c>
      <c r="J82" s="190">
        <f>+(J83+J91+J95)/3</f>
        <v>0.29888888888888893</v>
      </c>
      <c r="K82" s="191">
        <f>+(K83+K91+K95)/3</f>
        <v>0.17777777777777778</v>
      </c>
      <c r="L82" s="191">
        <f>+(L83+L91+L95)/3</f>
        <v>0.23291666666666666</v>
      </c>
      <c r="M82" s="192"/>
      <c r="N82" s="192"/>
      <c r="O82" s="192"/>
      <c r="P82" s="192"/>
      <c r="Q82" s="192"/>
      <c r="R82" s="251"/>
      <c r="S82" s="1181"/>
      <c r="T82" s="192"/>
      <c r="U82" s="190">
        <f>+(U83+U91+U95)/3</f>
        <v>0.43832698412698412</v>
      </c>
      <c r="V82" s="190">
        <f>+(V83+V91+V95)/3</f>
        <v>0.71249002267573702</v>
      </c>
      <c r="W82" s="191">
        <f>+W83+W91+W95</f>
        <v>0.20506728571428573</v>
      </c>
      <c r="X82" s="191">
        <f>+X83+X91+X95</f>
        <v>0.56500921428571438</v>
      </c>
      <c r="Y82" s="190">
        <f>(Y83+Y91+Y95)/3</f>
        <v>0.15124841269841269</v>
      </c>
      <c r="Z82" s="190">
        <f>(Z83+Z91+Z95)/3</f>
        <v>0.33279166666666665</v>
      </c>
      <c r="AA82" s="256">
        <f>+(AA83+AA91+AA95)</f>
        <v>6.376682142857143E-2</v>
      </c>
      <c r="AB82" s="256">
        <f>+(AB83*E83+AB91*E91+AB95*E95)</f>
        <v>0.22288787500000001</v>
      </c>
      <c r="AC82" s="1105"/>
      <c r="AD82" s="602"/>
      <c r="AE82" s="602"/>
      <c r="AF82" s="602"/>
      <c r="AG82" s="602"/>
      <c r="AH82" s="602"/>
    </row>
    <row r="83" spans="1:35" ht="72" customHeight="1" thickBot="1" x14ac:dyDescent="0.4">
      <c r="A83" s="184"/>
      <c r="B83" s="1319" t="s">
        <v>1812</v>
      </c>
      <c r="C83" s="1333"/>
      <c r="D83" s="267"/>
      <c r="E83" s="268">
        <v>0.45</v>
      </c>
      <c r="F83" s="262"/>
      <c r="G83" s="192"/>
      <c r="H83" s="192"/>
      <c r="I83" s="198">
        <f>+AVERAGE(I84:I90)</f>
        <v>0.21111111111111111</v>
      </c>
      <c r="J83" s="198">
        <f>+AVERAGE(J84:J90)</f>
        <v>0.35500000000000004</v>
      </c>
      <c r="K83" s="198">
        <f>+K84+K85+K86+K87+K88+K89+K90</f>
        <v>0.15833333333333333</v>
      </c>
      <c r="L83" s="198">
        <f>+L84+L85+L86+L87+L88+L89+L90</f>
        <v>0.23</v>
      </c>
      <c r="M83" s="197"/>
      <c r="N83" s="197"/>
      <c r="O83" s="197"/>
      <c r="P83" s="197"/>
      <c r="Q83" s="197"/>
      <c r="R83" s="1218"/>
      <c r="S83" s="199"/>
      <c r="T83" s="197"/>
      <c r="U83" s="221">
        <f>+AVERAGE(U84:U90)</f>
        <v>0.31498095238095236</v>
      </c>
      <c r="V83" s="221">
        <f>+AVERAGE(V84:V90)</f>
        <v>0.65913673469387757</v>
      </c>
      <c r="W83" s="221">
        <f>+(W84+W85+W86+W87+W88+W89+W90)*E83</f>
        <v>0.10506728571428571</v>
      </c>
      <c r="X83" s="221">
        <f>+(X84+X85+X86+X87+X88+X89+X90)*E83</f>
        <v>0.35738421428571437</v>
      </c>
      <c r="Y83" s="198">
        <f>+AVERAGE(Y84:Y90)</f>
        <v>7.874523809523809E-2</v>
      </c>
      <c r="Z83" s="198">
        <f>+AVERAGE(Z84:Z90)</f>
        <v>0.22817499999999999</v>
      </c>
      <c r="AA83" s="258">
        <f>+(AA84+AA85+AA86+AA87+AA88+AA89+AA90)*E83</f>
        <v>2.6266821428571428E-2</v>
      </c>
      <c r="AB83" s="258">
        <f>+(AB84+AB85+AB86+AB87+AB88+AB89+AB90)</f>
        <v>0.24641750000000001</v>
      </c>
      <c r="AC83" s="1106"/>
      <c r="AD83" s="602"/>
      <c r="AE83" s="602"/>
      <c r="AF83" s="602"/>
      <c r="AG83" s="602"/>
      <c r="AH83" s="602"/>
    </row>
    <row r="84" spans="1:35" ht="94.2" customHeight="1" thickBot="1" x14ac:dyDescent="0.4">
      <c r="A84" s="184"/>
      <c r="B84" s="1001" t="s">
        <v>866</v>
      </c>
      <c r="C84" s="1011" t="s">
        <v>1319</v>
      </c>
      <c r="D84" s="282" t="s">
        <v>867</v>
      </c>
      <c r="E84" s="264">
        <v>0.1</v>
      </c>
      <c r="F84" s="262">
        <v>1</v>
      </c>
      <c r="G84" s="199">
        <v>0</v>
      </c>
      <c r="H84" s="199">
        <v>0.25</v>
      </c>
      <c r="I84" s="205"/>
      <c r="J84" s="205">
        <f>+H84/F84</f>
        <v>0.25</v>
      </c>
      <c r="K84" s="205"/>
      <c r="L84" s="205">
        <f t="shared" ref="L84:L90" si="34">+(H84/F84)*E84</f>
        <v>2.5000000000000001E-2</v>
      </c>
      <c r="M84" s="199"/>
      <c r="N84" s="608">
        <v>0.05</v>
      </c>
      <c r="O84" s="608">
        <v>0.12</v>
      </c>
      <c r="P84" s="608">
        <v>0.2</v>
      </c>
      <c r="Q84" s="608">
        <v>0</v>
      </c>
      <c r="R84" s="608">
        <v>0</v>
      </c>
      <c r="S84" s="199">
        <f t="shared" si="30"/>
        <v>0.37</v>
      </c>
      <c r="T84" s="199">
        <f t="shared" ref="T84:T90" si="35">+S84+M84</f>
        <v>0.37</v>
      </c>
      <c r="U84" s="223"/>
      <c r="V84" s="223">
        <v>1</v>
      </c>
      <c r="W84" s="223"/>
      <c r="X84" s="223">
        <f t="shared" ref="X84:X90" si="36">+V84*E84</f>
        <v>0.1</v>
      </c>
      <c r="Y84" s="223"/>
      <c r="Z84" s="266">
        <f t="shared" ref="Z84:Z90" si="37">+T84/F84</f>
        <v>0.37</v>
      </c>
      <c r="AA84" s="266">
        <v>0</v>
      </c>
      <c r="AB84" s="266">
        <f t="shared" ref="AB84:AB90" si="38">+Z84*E84</f>
        <v>3.6999999999999998E-2</v>
      </c>
      <c r="AC84" s="725" t="s">
        <v>1852</v>
      </c>
      <c r="AD84" s="642" t="s">
        <v>1893</v>
      </c>
      <c r="AE84" s="642" t="s">
        <v>2276</v>
      </c>
      <c r="AF84" s="637" t="s">
        <v>2296</v>
      </c>
      <c r="AG84" s="637" t="s">
        <v>2413</v>
      </c>
      <c r="AH84" s="637" t="s">
        <v>2448</v>
      </c>
      <c r="AI84" s="637" t="s">
        <v>2567</v>
      </c>
    </row>
    <row r="85" spans="1:35" ht="55.95" customHeight="1" thickBot="1" x14ac:dyDescent="0.4">
      <c r="A85" s="184"/>
      <c r="B85" s="1001" t="s">
        <v>868</v>
      </c>
      <c r="C85" s="1011" t="s">
        <v>1320</v>
      </c>
      <c r="D85" s="282" t="s">
        <v>825</v>
      </c>
      <c r="E85" s="264">
        <v>0.3</v>
      </c>
      <c r="F85" s="262">
        <v>14000</v>
      </c>
      <c r="G85" s="199">
        <v>3500</v>
      </c>
      <c r="H85" s="199">
        <v>3500</v>
      </c>
      <c r="I85" s="205">
        <f t="shared" ref="I85:I90" si="39">+G85/F85</f>
        <v>0.25</v>
      </c>
      <c r="J85" s="205">
        <f t="shared" ref="J85:J96" si="40">+H85/F85</f>
        <v>0.25</v>
      </c>
      <c r="K85" s="205">
        <f t="shared" ref="K85:K90" si="41">+(G85/F85)*E85</f>
        <v>7.4999999999999997E-2</v>
      </c>
      <c r="L85" s="205">
        <f t="shared" si="34"/>
        <v>7.4999999999999997E-2</v>
      </c>
      <c r="M85" s="199">
        <v>1557.3</v>
      </c>
      <c r="N85" s="608">
        <v>941.85</v>
      </c>
      <c r="O85" s="608">
        <v>0</v>
      </c>
      <c r="P85" s="608">
        <v>0</v>
      </c>
      <c r="Q85" s="608">
        <v>1557</v>
      </c>
      <c r="R85" s="608"/>
      <c r="S85" s="199">
        <f t="shared" si="30"/>
        <v>2498.85</v>
      </c>
      <c r="T85" s="199">
        <f t="shared" si="35"/>
        <v>4056.1499999999996</v>
      </c>
      <c r="U85" s="223">
        <f>+(M85/G85)</f>
        <v>0.44494285714285714</v>
      </c>
      <c r="V85" s="223">
        <f>+S85/H85</f>
        <v>0.71395714285714285</v>
      </c>
      <c r="W85" s="223">
        <f>+U85*E85</f>
        <v>0.13348285714285713</v>
      </c>
      <c r="X85" s="223">
        <f t="shared" si="36"/>
        <v>0.21418714285714285</v>
      </c>
      <c r="Y85" s="223">
        <f>+M85/F85</f>
        <v>0.11123571428571428</v>
      </c>
      <c r="Z85" s="266">
        <f t="shared" si="37"/>
        <v>0.28972499999999995</v>
      </c>
      <c r="AA85" s="266">
        <f>+Y85*E85</f>
        <v>3.3370714285714281E-2</v>
      </c>
      <c r="AB85" s="266">
        <f t="shared" si="38"/>
        <v>8.6917499999999981E-2</v>
      </c>
      <c r="AC85" s="725" t="s">
        <v>1852</v>
      </c>
      <c r="AD85" s="602"/>
      <c r="AE85" s="642" t="s">
        <v>2276</v>
      </c>
      <c r="AF85" s="637" t="s">
        <v>2296</v>
      </c>
      <c r="AG85" s="637" t="s">
        <v>2413</v>
      </c>
      <c r="AH85" s="637" t="s">
        <v>2448</v>
      </c>
      <c r="AI85" s="637" t="s">
        <v>2567</v>
      </c>
    </row>
    <row r="86" spans="1:35" ht="56.4" customHeight="1" thickBot="1" x14ac:dyDescent="0.4">
      <c r="A86" s="184"/>
      <c r="B86" s="1001" t="s">
        <v>869</v>
      </c>
      <c r="C86" s="1011" t="s">
        <v>1321</v>
      </c>
      <c r="D86" s="282" t="s">
        <v>818</v>
      </c>
      <c r="E86" s="264">
        <v>0.25</v>
      </c>
      <c r="F86" s="262">
        <v>15</v>
      </c>
      <c r="G86" s="199">
        <v>2</v>
      </c>
      <c r="H86" s="199">
        <v>0.9</v>
      </c>
      <c r="I86" s="205">
        <f t="shared" si="39"/>
        <v>0.13333333333333333</v>
      </c>
      <c r="J86" s="205">
        <f t="shared" si="40"/>
        <v>6.0000000000000005E-2</v>
      </c>
      <c r="K86" s="205">
        <f t="shared" si="41"/>
        <v>3.3333333333333333E-2</v>
      </c>
      <c r="L86" s="205">
        <f t="shared" si="34"/>
        <v>1.5000000000000001E-2</v>
      </c>
      <c r="M86" s="199">
        <v>0</v>
      </c>
      <c r="N86" s="608">
        <v>0.9</v>
      </c>
      <c r="O86" s="608">
        <v>0.9</v>
      </c>
      <c r="P86" s="608">
        <v>0</v>
      </c>
      <c r="Q86" s="608">
        <v>0</v>
      </c>
      <c r="R86" s="608">
        <v>1.2</v>
      </c>
      <c r="S86" s="199">
        <f t="shared" si="30"/>
        <v>3</v>
      </c>
      <c r="T86" s="199">
        <f t="shared" si="35"/>
        <v>3</v>
      </c>
      <c r="U86" s="223">
        <f>+(M86/G86)</f>
        <v>0</v>
      </c>
      <c r="V86" s="223">
        <v>1</v>
      </c>
      <c r="W86" s="223">
        <f>+U86*E86</f>
        <v>0</v>
      </c>
      <c r="X86" s="223">
        <f t="shared" si="36"/>
        <v>0.25</v>
      </c>
      <c r="Y86" s="223">
        <f>+M86/F86</f>
        <v>0</v>
      </c>
      <c r="Z86" s="266">
        <f t="shared" si="37"/>
        <v>0.2</v>
      </c>
      <c r="AA86" s="266">
        <f>+Y86*E86</f>
        <v>0</v>
      </c>
      <c r="AB86" s="266">
        <f t="shared" si="38"/>
        <v>0.05</v>
      </c>
      <c r="AC86" s="725" t="s">
        <v>1852</v>
      </c>
      <c r="AD86" s="642" t="s">
        <v>1893</v>
      </c>
      <c r="AE86" s="642" t="s">
        <v>2276</v>
      </c>
      <c r="AF86" s="637" t="s">
        <v>2296</v>
      </c>
      <c r="AG86" s="637" t="s">
        <v>2413</v>
      </c>
      <c r="AH86" s="637" t="s">
        <v>2448</v>
      </c>
      <c r="AI86" s="637" t="s">
        <v>2567</v>
      </c>
    </row>
    <row r="87" spans="1:35" ht="66.599999999999994" customHeight="1" thickBot="1" x14ac:dyDescent="0.4">
      <c r="A87" s="184"/>
      <c r="B87" s="1032" t="s">
        <v>870</v>
      </c>
      <c r="C87" s="1241" t="s">
        <v>1322</v>
      </c>
      <c r="D87" s="282" t="s">
        <v>871</v>
      </c>
      <c r="E87" s="264">
        <v>0.08</v>
      </c>
      <c r="F87" s="262">
        <v>1</v>
      </c>
      <c r="G87" s="199">
        <v>0</v>
      </c>
      <c r="H87" s="199">
        <v>0.5</v>
      </c>
      <c r="I87" s="205"/>
      <c r="J87" s="205">
        <f>+H87/F87</f>
        <v>0.5</v>
      </c>
      <c r="K87" s="205"/>
      <c r="L87" s="205">
        <f t="shared" si="34"/>
        <v>0.04</v>
      </c>
      <c r="M87" s="199"/>
      <c r="N87" s="608">
        <v>0.1</v>
      </c>
      <c r="O87" s="608">
        <v>0.15</v>
      </c>
      <c r="P87" s="608">
        <v>0</v>
      </c>
      <c r="Q87" s="608">
        <v>0</v>
      </c>
      <c r="R87" s="608">
        <v>0</v>
      </c>
      <c r="S87" s="199">
        <f t="shared" si="30"/>
        <v>0.25</v>
      </c>
      <c r="T87" s="199">
        <f t="shared" si="35"/>
        <v>0.25</v>
      </c>
      <c r="U87" s="223"/>
      <c r="V87" s="223">
        <f>+S87/H87</f>
        <v>0.5</v>
      </c>
      <c r="W87" s="223"/>
      <c r="X87" s="223">
        <f t="shared" si="36"/>
        <v>0.04</v>
      </c>
      <c r="Y87" s="223"/>
      <c r="Z87" s="266">
        <f t="shared" si="37"/>
        <v>0.25</v>
      </c>
      <c r="AA87" s="266">
        <v>0</v>
      </c>
      <c r="AB87" s="266">
        <f t="shared" si="38"/>
        <v>0.02</v>
      </c>
      <c r="AC87" s="725" t="s">
        <v>1852</v>
      </c>
      <c r="AD87" s="642" t="s">
        <v>1893</v>
      </c>
      <c r="AE87" s="642" t="s">
        <v>2276</v>
      </c>
      <c r="AF87" s="637" t="s">
        <v>2296</v>
      </c>
      <c r="AG87" s="637" t="s">
        <v>2413</v>
      </c>
      <c r="AH87" s="607" t="s">
        <v>2458</v>
      </c>
      <c r="AI87" s="607" t="s">
        <v>2588</v>
      </c>
    </row>
    <row r="88" spans="1:35" ht="78.599999999999994" customHeight="1" thickBot="1" x14ac:dyDescent="0.4">
      <c r="A88" s="184"/>
      <c r="B88" s="1001" t="s">
        <v>872</v>
      </c>
      <c r="C88" s="1011" t="s">
        <v>1323</v>
      </c>
      <c r="D88" s="282" t="s">
        <v>873</v>
      </c>
      <c r="E88" s="264">
        <v>0.05</v>
      </c>
      <c r="F88" s="262">
        <v>1</v>
      </c>
      <c r="G88" s="199">
        <v>0</v>
      </c>
      <c r="H88" s="199">
        <v>0.8</v>
      </c>
      <c r="I88" s="205"/>
      <c r="J88" s="205">
        <f t="shared" si="40"/>
        <v>0.8</v>
      </c>
      <c r="K88" s="205"/>
      <c r="L88" s="205">
        <f t="shared" si="34"/>
        <v>4.0000000000000008E-2</v>
      </c>
      <c r="M88" s="199"/>
      <c r="N88" s="608"/>
      <c r="O88" s="608"/>
      <c r="P88" s="608"/>
      <c r="Q88" s="608"/>
      <c r="R88" s="608"/>
      <c r="S88" s="199">
        <f t="shared" si="30"/>
        <v>0</v>
      </c>
      <c r="T88" s="199">
        <f t="shared" si="35"/>
        <v>0</v>
      </c>
      <c r="U88" s="223"/>
      <c r="V88" s="223">
        <f>+S88/H88</f>
        <v>0</v>
      </c>
      <c r="W88" s="223"/>
      <c r="X88" s="223">
        <f t="shared" si="36"/>
        <v>0</v>
      </c>
      <c r="Y88" s="223"/>
      <c r="Z88" s="266">
        <f t="shared" si="37"/>
        <v>0</v>
      </c>
      <c r="AA88" s="266">
        <v>0</v>
      </c>
      <c r="AB88" s="266">
        <f t="shared" si="38"/>
        <v>0</v>
      </c>
      <c r="AC88" s="725" t="s">
        <v>1852</v>
      </c>
      <c r="AD88" s="642" t="s">
        <v>1893</v>
      </c>
      <c r="AE88" s="642" t="s">
        <v>2276</v>
      </c>
      <c r="AF88" s="637" t="s">
        <v>2296</v>
      </c>
      <c r="AG88" s="766" t="s">
        <v>2383</v>
      </c>
      <c r="AH88" s="637" t="s">
        <v>2448</v>
      </c>
      <c r="AI88" s="637" t="s">
        <v>2567</v>
      </c>
    </row>
    <row r="89" spans="1:35" ht="124.95" customHeight="1" thickBot="1" x14ac:dyDescent="0.4">
      <c r="A89" s="184"/>
      <c r="B89" s="1032" t="s">
        <v>874</v>
      </c>
      <c r="C89" s="1241" t="s">
        <v>1324</v>
      </c>
      <c r="D89" s="282" t="s">
        <v>875</v>
      </c>
      <c r="E89" s="264">
        <v>0.02</v>
      </c>
      <c r="F89" s="262">
        <v>1</v>
      </c>
      <c r="G89" s="199">
        <v>0</v>
      </c>
      <c r="H89" s="199">
        <v>0.5</v>
      </c>
      <c r="I89" s="205"/>
      <c r="J89" s="205">
        <f t="shared" si="40"/>
        <v>0.5</v>
      </c>
      <c r="K89" s="205"/>
      <c r="L89" s="205">
        <f t="shared" si="34"/>
        <v>0.01</v>
      </c>
      <c r="M89" s="199"/>
      <c r="N89" s="608">
        <v>0.1</v>
      </c>
      <c r="O89" s="608">
        <v>0.15</v>
      </c>
      <c r="P89" s="608">
        <v>0</v>
      </c>
      <c r="Q89" s="608">
        <v>0</v>
      </c>
      <c r="R89" s="608">
        <v>0</v>
      </c>
      <c r="S89" s="199">
        <f t="shared" si="30"/>
        <v>0.25</v>
      </c>
      <c r="T89" s="199">
        <f t="shared" si="35"/>
        <v>0.25</v>
      </c>
      <c r="U89" s="223"/>
      <c r="V89" s="223">
        <f>+S89/H89</f>
        <v>0.5</v>
      </c>
      <c r="W89" s="223"/>
      <c r="X89" s="223">
        <f t="shared" si="36"/>
        <v>0.01</v>
      </c>
      <c r="Y89" s="223"/>
      <c r="Z89" s="266">
        <f t="shared" si="37"/>
        <v>0.25</v>
      </c>
      <c r="AA89" s="266">
        <v>0</v>
      </c>
      <c r="AB89" s="266">
        <f t="shared" si="38"/>
        <v>5.0000000000000001E-3</v>
      </c>
      <c r="AC89" s="725" t="s">
        <v>1852</v>
      </c>
      <c r="AD89" s="642" t="s">
        <v>1893</v>
      </c>
      <c r="AE89" s="642" t="s">
        <v>2276</v>
      </c>
      <c r="AF89" s="637" t="s">
        <v>2296</v>
      </c>
      <c r="AG89" s="637" t="s">
        <v>2413</v>
      </c>
      <c r="AH89" s="637" t="s">
        <v>2448</v>
      </c>
      <c r="AI89" s="607" t="s">
        <v>2587</v>
      </c>
    </row>
    <row r="90" spans="1:35" ht="105" customHeight="1" thickBot="1" x14ac:dyDescent="0.4">
      <c r="A90" s="184"/>
      <c r="B90" s="1032" t="s">
        <v>876</v>
      </c>
      <c r="C90" s="1241" t="s">
        <v>1325</v>
      </c>
      <c r="D90" s="287" t="s">
        <v>877</v>
      </c>
      <c r="E90" s="274">
        <v>0.2</v>
      </c>
      <c r="F90" s="262">
        <v>8</v>
      </c>
      <c r="G90" s="199">
        <v>2</v>
      </c>
      <c r="H90" s="199">
        <v>1</v>
      </c>
      <c r="I90" s="205">
        <f t="shared" si="39"/>
        <v>0.25</v>
      </c>
      <c r="J90" s="205">
        <f t="shared" si="40"/>
        <v>0.125</v>
      </c>
      <c r="K90" s="205">
        <f t="shared" si="41"/>
        <v>0.05</v>
      </c>
      <c r="L90" s="205">
        <f t="shared" si="34"/>
        <v>2.5000000000000001E-2</v>
      </c>
      <c r="M90" s="199">
        <v>1</v>
      </c>
      <c r="N90" s="608">
        <v>0.38</v>
      </c>
      <c r="O90" s="608">
        <v>0.4</v>
      </c>
      <c r="P90" s="608">
        <v>0</v>
      </c>
      <c r="Q90" s="608">
        <v>0.12</v>
      </c>
      <c r="R90" s="272"/>
      <c r="S90" s="199">
        <f t="shared" si="30"/>
        <v>0.9</v>
      </c>
      <c r="T90" s="199">
        <f t="shared" si="35"/>
        <v>1.9</v>
      </c>
      <c r="U90" s="223">
        <f>+(M90/G90)</f>
        <v>0.5</v>
      </c>
      <c r="V90" s="223">
        <f>+S90/H90</f>
        <v>0.9</v>
      </c>
      <c r="W90" s="223">
        <f>+U90*E90</f>
        <v>0.1</v>
      </c>
      <c r="X90" s="223">
        <f t="shared" si="36"/>
        <v>0.18000000000000002</v>
      </c>
      <c r="Y90" s="223">
        <f>+M90/F90</f>
        <v>0.125</v>
      </c>
      <c r="Z90" s="266">
        <f t="shared" si="37"/>
        <v>0.23749999999999999</v>
      </c>
      <c r="AA90" s="266">
        <f>+Y90*E90</f>
        <v>2.5000000000000001E-2</v>
      </c>
      <c r="AB90" s="266">
        <f t="shared" si="38"/>
        <v>4.7500000000000001E-2</v>
      </c>
      <c r="AC90" s="1110" t="s">
        <v>1546</v>
      </c>
      <c r="AD90" s="644" t="s">
        <v>1546</v>
      </c>
      <c r="AE90" s="642" t="s">
        <v>2276</v>
      </c>
      <c r="AF90" s="637" t="s">
        <v>2296</v>
      </c>
      <c r="AG90" s="607" t="s">
        <v>1865</v>
      </c>
      <c r="AH90" s="637" t="s">
        <v>2448</v>
      </c>
      <c r="AI90" s="637" t="s">
        <v>2567</v>
      </c>
    </row>
    <row r="91" spans="1:35" ht="114.75" customHeight="1" thickBot="1" x14ac:dyDescent="0.4">
      <c r="A91" s="184"/>
      <c r="B91" s="1319" t="s">
        <v>1739</v>
      </c>
      <c r="C91" s="1333"/>
      <c r="D91" s="267"/>
      <c r="E91" s="268">
        <v>0.45</v>
      </c>
      <c r="F91" s="262"/>
      <c r="G91" s="192"/>
      <c r="H91" s="192"/>
      <c r="I91" s="198">
        <f>+AVERAGE(I92:I94)</f>
        <v>0.25</v>
      </c>
      <c r="J91" s="198">
        <f>+AVERAGE(J92:J94)</f>
        <v>0.29166666666666669</v>
      </c>
      <c r="K91" s="198">
        <f>+K92+K93+K94</f>
        <v>0.125</v>
      </c>
      <c r="L91" s="198">
        <f>+L92+L93+L94</f>
        <v>0.21875</v>
      </c>
      <c r="M91" s="197"/>
      <c r="N91" s="197"/>
      <c r="O91" s="197"/>
      <c r="P91" s="197"/>
      <c r="Q91" s="197"/>
      <c r="R91" s="1218"/>
      <c r="S91" s="199"/>
      <c r="T91" s="197"/>
      <c r="U91" s="221">
        <f>+AVERAGE(U92:U94)</f>
        <v>0</v>
      </c>
      <c r="V91" s="221">
        <f>+AVERAGE(V92:V94)</f>
        <v>0.47833333333333333</v>
      </c>
      <c r="W91" s="221">
        <f>+(W92+W93+W94)*E91</f>
        <v>0</v>
      </c>
      <c r="X91" s="221">
        <f>+(X92+X93+X94)*E91</f>
        <v>0.107625</v>
      </c>
      <c r="Y91" s="198">
        <f>+AVERAGE(Y92:Y94)</f>
        <v>0</v>
      </c>
      <c r="Z91" s="198">
        <f>+(Z92*0.33)+(Z93*0.33)+(Z94*0.33)</f>
        <v>0.1452</v>
      </c>
      <c r="AA91" s="258">
        <f>+(AA92+AA93+AA94)*E91</f>
        <v>0</v>
      </c>
      <c r="AB91" s="258">
        <f>+(AB92+AB93+AB94)</f>
        <v>0.11</v>
      </c>
      <c r="AC91" s="1106"/>
      <c r="AD91" s="602"/>
      <c r="AE91" s="602"/>
      <c r="AF91" s="602"/>
      <c r="AG91" s="602"/>
      <c r="AH91" s="602"/>
    </row>
    <row r="92" spans="1:35" ht="144.6" customHeight="1" thickBot="1" x14ac:dyDescent="0.4">
      <c r="A92" s="184"/>
      <c r="B92" s="1012" t="s">
        <v>878</v>
      </c>
      <c r="C92" s="1013" t="s">
        <v>1326</v>
      </c>
      <c r="D92" s="267" t="s">
        <v>879</v>
      </c>
      <c r="E92" s="264">
        <v>0.25</v>
      </c>
      <c r="F92" s="262">
        <v>4</v>
      </c>
      <c r="G92" s="199">
        <v>1</v>
      </c>
      <c r="H92" s="199">
        <v>2</v>
      </c>
      <c r="I92" s="205">
        <f>+G92/F92</f>
        <v>0.25</v>
      </c>
      <c r="J92" s="205">
        <f t="shared" si="40"/>
        <v>0.5</v>
      </c>
      <c r="K92" s="205">
        <f>+(G92/F92)*E92</f>
        <v>6.25E-2</v>
      </c>
      <c r="L92" s="205">
        <f t="shared" ref="L92:L94" si="42">+(H92/F92)*E92</f>
        <v>0.125</v>
      </c>
      <c r="M92" s="199">
        <v>0</v>
      </c>
      <c r="N92" s="608">
        <v>0</v>
      </c>
      <c r="O92" s="608">
        <v>0</v>
      </c>
      <c r="P92" s="608">
        <v>0</v>
      </c>
      <c r="Q92" s="608">
        <v>0</v>
      </c>
      <c r="R92" s="608">
        <v>1.3</v>
      </c>
      <c r="S92" s="199">
        <f t="shared" si="30"/>
        <v>1.3</v>
      </c>
      <c r="T92" s="199">
        <f>+S92+M92</f>
        <v>1.3</v>
      </c>
      <c r="U92" s="223">
        <f>+(M92/G92)</f>
        <v>0</v>
      </c>
      <c r="V92" s="223">
        <f>+S92/H92</f>
        <v>0.65</v>
      </c>
      <c r="W92" s="223">
        <f>+U92*E92</f>
        <v>0</v>
      </c>
      <c r="X92" s="223">
        <f>+V92*E92</f>
        <v>0.16250000000000001</v>
      </c>
      <c r="Y92" s="223">
        <f>+M92/F92</f>
        <v>0</v>
      </c>
      <c r="Z92" s="266">
        <f>+T92/F92</f>
        <v>0.32500000000000001</v>
      </c>
      <c r="AA92" s="266">
        <f>+Y92*E92</f>
        <v>0</v>
      </c>
      <c r="AB92" s="266">
        <f>+Z92*E92</f>
        <v>8.1250000000000003E-2</v>
      </c>
      <c r="AC92" s="725" t="s">
        <v>1853</v>
      </c>
      <c r="AD92" s="640" t="s">
        <v>1896</v>
      </c>
      <c r="AE92" s="642" t="s">
        <v>2276</v>
      </c>
      <c r="AF92" s="637" t="s">
        <v>2296</v>
      </c>
      <c r="AG92" s="766" t="s">
        <v>2425</v>
      </c>
      <c r="AH92" s="637" t="s">
        <v>2448</v>
      </c>
      <c r="AI92" s="637" t="s">
        <v>2567</v>
      </c>
    </row>
    <row r="93" spans="1:35" ht="148.19999999999999" customHeight="1" thickBot="1" x14ac:dyDescent="0.4">
      <c r="A93" s="184"/>
      <c r="B93" s="930" t="s">
        <v>880</v>
      </c>
      <c r="C93" s="931" t="s">
        <v>1327</v>
      </c>
      <c r="D93" s="267" t="s">
        <v>1855</v>
      </c>
      <c r="E93" s="264">
        <v>0.5</v>
      </c>
      <c r="F93" s="262">
        <v>3</v>
      </c>
      <c r="G93" s="199">
        <v>0</v>
      </c>
      <c r="H93" s="199">
        <v>0</v>
      </c>
      <c r="I93" s="205"/>
      <c r="J93" s="205">
        <f t="shared" si="40"/>
        <v>0</v>
      </c>
      <c r="K93" s="205"/>
      <c r="L93" s="205">
        <f t="shared" si="42"/>
        <v>0</v>
      </c>
      <c r="M93" s="199"/>
      <c r="N93" s="608"/>
      <c r="O93" s="199"/>
      <c r="P93" s="199"/>
      <c r="Q93" s="199"/>
      <c r="R93" s="272"/>
      <c r="S93" s="199">
        <f t="shared" si="30"/>
        <v>0</v>
      </c>
      <c r="T93" s="199">
        <f>+S93+M93</f>
        <v>0</v>
      </c>
      <c r="U93" s="223"/>
      <c r="V93" s="223"/>
      <c r="W93" s="223"/>
      <c r="X93" s="223">
        <f>+V93*E93</f>
        <v>0</v>
      </c>
      <c r="Y93" s="223"/>
      <c r="Z93" s="266">
        <v>0</v>
      </c>
      <c r="AA93" s="266"/>
      <c r="AB93" s="266">
        <f>+Z93*E93</f>
        <v>0</v>
      </c>
      <c r="AC93" s="725" t="s">
        <v>1854</v>
      </c>
      <c r="AD93" s="607" t="s">
        <v>1977</v>
      </c>
      <c r="AE93" s="602"/>
      <c r="AF93" s="602"/>
      <c r="AG93" s="602"/>
      <c r="AH93" s="607" t="s">
        <v>1865</v>
      </c>
    </row>
    <row r="94" spans="1:35" ht="147.6" customHeight="1" thickBot="1" x14ac:dyDescent="0.4">
      <c r="A94" s="184"/>
      <c r="B94" s="1032" t="s">
        <v>881</v>
      </c>
      <c r="C94" s="1241" t="s">
        <v>1328</v>
      </c>
      <c r="D94" s="284" t="s">
        <v>882</v>
      </c>
      <c r="E94" s="275">
        <v>0.25</v>
      </c>
      <c r="F94" s="262">
        <v>2</v>
      </c>
      <c r="G94" s="199">
        <v>0.5</v>
      </c>
      <c r="H94" s="199">
        <v>0.75</v>
      </c>
      <c r="I94" s="205">
        <f>+G94/F94</f>
        <v>0.25</v>
      </c>
      <c r="J94" s="205">
        <f t="shared" si="40"/>
        <v>0.375</v>
      </c>
      <c r="K94" s="205">
        <f>+(G94/F94)*E94</f>
        <v>6.25E-2</v>
      </c>
      <c r="L94" s="205">
        <f t="shared" si="42"/>
        <v>9.375E-2</v>
      </c>
      <c r="M94" s="199">
        <v>0</v>
      </c>
      <c r="N94" s="608">
        <v>0.08</v>
      </c>
      <c r="O94" s="199">
        <v>0.15</v>
      </c>
      <c r="P94" s="608">
        <v>0</v>
      </c>
      <c r="Q94" s="608">
        <v>0</v>
      </c>
      <c r="R94" s="608">
        <v>0</v>
      </c>
      <c r="S94" s="199">
        <f t="shared" si="30"/>
        <v>0.22999999999999998</v>
      </c>
      <c r="T94" s="199">
        <f>+S94+M94</f>
        <v>0.22999999999999998</v>
      </c>
      <c r="U94" s="223">
        <f>+(M94/G94)</f>
        <v>0</v>
      </c>
      <c r="V94" s="223">
        <f>+S94/H94</f>
        <v>0.30666666666666664</v>
      </c>
      <c r="W94" s="223">
        <f>+U94*E94</f>
        <v>0</v>
      </c>
      <c r="X94" s="223">
        <f>+V94*E94</f>
        <v>7.6666666666666661E-2</v>
      </c>
      <c r="Y94" s="223">
        <f>+M94/F94</f>
        <v>0</v>
      </c>
      <c r="Z94" s="266">
        <f>+T94/F94</f>
        <v>0.11499999999999999</v>
      </c>
      <c r="AA94" s="266">
        <f>+Y94*E94</f>
        <v>0</v>
      </c>
      <c r="AB94" s="266">
        <f>+Z94*E94</f>
        <v>2.8749999999999998E-2</v>
      </c>
      <c r="AC94" s="1110" t="s">
        <v>1560</v>
      </c>
      <c r="AD94" s="607" t="s">
        <v>1896</v>
      </c>
      <c r="AE94" s="642" t="s">
        <v>2276</v>
      </c>
      <c r="AF94" s="1114" t="s">
        <v>1896</v>
      </c>
      <c r="AG94" s="766" t="s">
        <v>2425</v>
      </c>
      <c r="AH94" s="1132" t="s">
        <v>1896</v>
      </c>
      <c r="AI94" s="644" t="s">
        <v>1896</v>
      </c>
    </row>
    <row r="95" spans="1:35" ht="28.2" customHeight="1" thickBot="1" x14ac:dyDescent="0.4">
      <c r="A95" s="184"/>
      <c r="B95" s="1319" t="s">
        <v>1740</v>
      </c>
      <c r="C95" s="1333"/>
      <c r="D95" s="267"/>
      <c r="E95" s="268">
        <v>0.1</v>
      </c>
      <c r="F95" s="262"/>
      <c r="G95" s="192"/>
      <c r="H95" s="192"/>
      <c r="I95" s="198">
        <f>+AVERAGE(I96)</f>
        <v>0.25</v>
      </c>
      <c r="J95" s="198">
        <f>+AVERAGE(J96)</f>
        <v>0.25</v>
      </c>
      <c r="K95" s="198">
        <f>+K96</f>
        <v>0.25</v>
      </c>
      <c r="L95" s="198">
        <f>+L96</f>
        <v>0.25</v>
      </c>
      <c r="M95" s="197"/>
      <c r="N95" s="197"/>
      <c r="O95" s="197"/>
      <c r="P95" s="197"/>
      <c r="Q95" s="197"/>
      <c r="R95" s="1218"/>
      <c r="S95" s="199"/>
      <c r="T95" s="197"/>
      <c r="U95" s="221">
        <f>+AVERAGE(U96)</f>
        <v>1</v>
      </c>
      <c r="V95" s="221">
        <f>+AVERAGE(V96)</f>
        <v>1</v>
      </c>
      <c r="W95" s="221">
        <f>+(W96)*E95</f>
        <v>0.1</v>
      </c>
      <c r="X95" s="221">
        <f>+(X96)*E95</f>
        <v>0.1</v>
      </c>
      <c r="Y95" s="198">
        <f>+AVERAGE(Y96)</f>
        <v>0.375</v>
      </c>
      <c r="Z95" s="198">
        <f>+AVERAGE(Z96)</f>
        <v>0.625</v>
      </c>
      <c r="AA95" s="258">
        <f>+(AA96)*E95</f>
        <v>3.7500000000000006E-2</v>
      </c>
      <c r="AB95" s="258">
        <f>+(AB96)</f>
        <v>0.625</v>
      </c>
      <c r="AC95" s="1106"/>
      <c r="AD95" s="602"/>
      <c r="AE95" s="602"/>
      <c r="AF95" s="602"/>
      <c r="AG95" s="602"/>
      <c r="AH95" s="602"/>
    </row>
    <row r="96" spans="1:35" ht="108" customHeight="1" thickBot="1" x14ac:dyDescent="0.4">
      <c r="A96" s="184"/>
      <c r="B96" s="1001" t="s">
        <v>883</v>
      </c>
      <c r="C96" s="1011" t="s">
        <v>1329</v>
      </c>
      <c r="D96" s="267" t="s">
        <v>884</v>
      </c>
      <c r="E96" s="264">
        <v>1</v>
      </c>
      <c r="F96" s="262">
        <v>16</v>
      </c>
      <c r="G96" s="199">
        <v>4</v>
      </c>
      <c r="H96" s="199">
        <v>4</v>
      </c>
      <c r="I96" s="205">
        <f>+G96/F96</f>
        <v>0.25</v>
      </c>
      <c r="J96" s="205">
        <f t="shared" si="40"/>
        <v>0.25</v>
      </c>
      <c r="K96" s="205">
        <f>+(G96/F96)*E96</f>
        <v>0.25</v>
      </c>
      <c r="L96" s="205">
        <f t="shared" ref="L96" si="43">+(H96/F96)*E96</f>
        <v>0.25</v>
      </c>
      <c r="M96" s="199">
        <v>6</v>
      </c>
      <c r="N96" s="608">
        <v>0</v>
      </c>
      <c r="O96" s="608">
        <v>0</v>
      </c>
      <c r="P96" s="608">
        <v>2</v>
      </c>
      <c r="Q96" s="608">
        <v>2</v>
      </c>
      <c r="R96" s="608">
        <v>0</v>
      </c>
      <c r="S96" s="199">
        <f t="shared" si="30"/>
        <v>4</v>
      </c>
      <c r="T96" s="199">
        <f>+S96+M96</f>
        <v>10</v>
      </c>
      <c r="U96" s="223">
        <v>1</v>
      </c>
      <c r="V96" s="223">
        <f>+S96/H96</f>
        <v>1</v>
      </c>
      <c r="W96" s="223">
        <f>+U96*E96</f>
        <v>1</v>
      </c>
      <c r="X96" s="223">
        <f>+V96*E96</f>
        <v>1</v>
      </c>
      <c r="Y96" s="223">
        <f>+M96/F96</f>
        <v>0.375</v>
      </c>
      <c r="Z96" s="266">
        <f>+T96/F96</f>
        <v>0.625</v>
      </c>
      <c r="AA96" s="266">
        <f>+Y96*E96</f>
        <v>0.375</v>
      </c>
      <c r="AB96" s="266">
        <f>+Z96*E96</f>
        <v>0.625</v>
      </c>
      <c r="AC96" s="725" t="s">
        <v>1852</v>
      </c>
      <c r="AD96" s="642" t="s">
        <v>1893</v>
      </c>
      <c r="AE96" s="602"/>
      <c r="AF96" s="637" t="s">
        <v>2296</v>
      </c>
      <c r="AG96" s="642" t="s">
        <v>2413</v>
      </c>
      <c r="AH96" s="642" t="s">
        <v>2448</v>
      </c>
      <c r="AI96" s="637" t="s">
        <v>2567</v>
      </c>
    </row>
    <row r="97" spans="1:35" ht="103.2" customHeight="1" thickBot="1" x14ac:dyDescent="0.4">
      <c r="A97" s="184"/>
      <c r="B97" s="1323" t="s">
        <v>1813</v>
      </c>
      <c r="C97" s="1333"/>
      <c r="D97" s="267"/>
      <c r="E97" s="270">
        <v>0.2</v>
      </c>
      <c r="F97" s="187">
        <f>+E97*W97</f>
        <v>7.2980616242112467E-2</v>
      </c>
      <c r="G97" s="192"/>
      <c r="H97" s="188">
        <f>+E97*X97</f>
        <v>0.10590783719331048</v>
      </c>
      <c r="I97" s="190">
        <f>+(I98+I100+I105+I109+I121)/4</f>
        <v>0.32233213614481815</v>
      </c>
      <c r="J97" s="190">
        <f>+(J98+J100+J105+J109+J121)/4</f>
        <v>0.32575564910040028</v>
      </c>
      <c r="K97" s="191">
        <f>+(K98+K100+K105+K109+K121)/4</f>
        <v>0.24677777425020778</v>
      </c>
      <c r="L97" s="191">
        <f>+(L98+L100+L105+L109+L121)/4</f>
        <v>0.31408199614094051</v>
      </c>
      <c r="M97" s="192"/>
      <c r="N97" s="192"/>
      <c r="O97" s="192"/>
      <c r="P97" s="192"/>
      <c r="Q97" s="192"/>
      <c r="R97" s="251"/>
      <c r="S97" s="1181"/>
      <c r="T97" s="192"/>
      <c r="U97" s="190">
        <f>+(U98+U100+U105+U109+U121)/4</f>
        <v>0.71155118289486519</v>
      </c>
      <c r="V97" s="190">
        <f>+(V98+V100+V105+V109+V121)/5</f>
        <v>0.77930987500306204</v>
      </c>
      <c r="W97" s="191">
        <f>+W98+W100+W105+W109+W121</f>
        <v>0.36490308121056231</v>
      </c>
      <c r="X97" s="191">
        <f>+X98+X100+X105+X109+X121</f>
        <v>0.52953918596655236</v>
      </c>
      <c r="Y97" s="190">
        <f>(Y98+Y100+Y105+Y109+Y121)/4</f>
        <v>0.28704669626851897</v>
      </c>
      <c r="Z97" s="190">
        <f>(Z98+Z100+Z105+Z109+Z121)/5</f>
        <v>0.50977979669828244</v>
      </c>
      <c r="AA97" s="281">
        <f>+(AA98+AA100+AA105+AA109+AA121)</f>
        <v>0.14970787104537839</v>
      </c>
      <c r="AB97" s="281">
        <f>+(AB98*E98+AB100*E100*+AB105*E105+AB109*E109+AB121*E121)</f>
        <v>0.23815278753134994</v>
      </c>
      <c r="AC97" s="1105"/>
      <c r="AD97" s="602"/>
      <c r="AE97" s="602"/>
      <c r="AF97" s="602"/>
      <c r="AG97" s="602"/>
      <c r="AH97" s="602"/>
    </row>
    <row r="98" spans="1:35" ht="42.75" customHeight="1" thickBot="1" x14ac:dyDescent="0.4">
      <c r="A98" s="184"/>
      <c r="B98" s="1319" t="s">
        <v>885</v>
      </c>
      <c r="C98" s="1333"/>
      <c r="D98" s="267"/>
      <c r="E98" s="268">
        <v>0.3</v>
      </c>
      <c r="F98" s="262"/>
      <c r="G98" s="192"/>
      <c r="H98" s="192"/>
      <c r="I98" s="198">
        <f>+AVERAGE(I99)</f>
        <v>0</v>
      </c>
      <c r="J98" s="198">
        <f>+AVERAGE(J99)</f>
        <v>0.2</v>
      </c>
      <c r="K98" s="198">
        <f>+K99</f>
        <v>0</v>
      </c>
      <c r="L98" s="198">
        <f>+L99</f>
        <v>0.2</v>
      </c>
      <c r="M98" s="197"/>
      <c r="N98" s="197"/>
      <c r="O98" s="197"/>
      <c r="P98" s="197"/>
      <c r="Q98" s="197"/>
      <c r="R98" s="1218"/>
      <c r="S98" s="199"/>
      <c r="T98" s="197"/>
      <c r="U98" s="200"/>
      <c r="V98" s="221">
        <f>+AVERAGE(V99)</f>
        <v>0.5</v>
      </c>
      <c r="W98" s="221"/>
      <c r="X98" s="221">
        <f>+(X99)*E98</f>
        <v>0.15</v>
      </c>
      <c r="Y98" s="198"/>
      <c r="Z98" s="258">
        <f>+AVERAGE(Z99)</f>
        <v>0.1</v>
      </c>
      <c r="AA98" s="258">
        <f>+(AA99)*E98</f>
        <v>0</v>
      </c>
      <c r="AB98" s="258">
        <f>+(AB99)</f>
        <v>0.1</v>
      </c>
      <c r="AC98" s="1106"/>
      <c r="AD98" s="602"/>
      <c r="AE98" s="602"/>
      <c r="AF98" s="602"/>
      <c r="AG98" s="602"/>
      <c r="AH98" s="602"/>
    </row>
    <row r="99" spans="1:35" ht="54.75" customHeight="1" thickBot="1" x14ac:dyDescent="0.4">
      <c r="A99" s="184"/>
      <c r="B99" s="930" t="s">
        <v>886</v>
      </c>
      <c r="C99" s="931" t="s">
        <v>1330</v>
      </c>
      <c r="D99" s="260" t="s">
        <v>825</v>
      </c>
      <c r="E99" s="264">
        <v>1</v>
      </c>
      <c r="F99" s="262">
        <v>10</v>
      </c>
      <c r="G99" s="199">
        <v>0</v>
      </c>
      <c r="H99" s="199">
        <v>2</v>
      </c>
      <c r="I99" s="205">
        <f>+G99/F99</f>
        <v>0</v>
      </c>
      <c r="J99" s="205">
        <f t="shared" ref="J99:J134" si="44">+H99/F99</f>
        <v>0.2</v>
      </c>
      <c r="K99" s="205">
        <f>+(G99/F99)*E99</f>
        <v>0</v>
      </c>
      <c r="L99" s="205">
        <f t="shared" ref="L99:L134" si="45">+(H99/F99)*E99</f>
        <v>0.2</v>
      </c>
      <c r="M99" s="199"/>
      <c r="N99" s="608">
        <v>0</v>
      </c>
      <c r="O99" s="199"/>
      <c r="P99" s="608">
        <v>1</v>
      </c>
      <c r="Q99" s="1134"/>
      <c r="R99" s="1219"/>
      <c r="S99" s="199">
        <f t="shared" si="30"/>
        <v>1</v>
      </c>
      <c r="T99" s="199">
        <f>+S99+M99</f>
        <v>1</v>
      </c>
      <c r="U99" s="205"/>
      <c r="V99" s="205">
        <f>+S99/H99</f>
        <v>0.5</v>
      </c>
      <c r="W99" s="205"/>
      <c r="X99" s="205">
        <f>+V99*E99</f>
        <v>0.5</v>
      </c>
      <c r="Y99" s="205"/>
      <c r="Z99" s="263">
        <f>+T99/F99</f>
        <v>0.1</v>
      </c>
      <c r="AA99" s="263"/>
      <c r="AB99" s="263">
        <f>+Z99*E99</f>
        <v>0.1</v>
      </c>
      <c r="AC99" s="1111" t="s">
        <v>1867</v>
      </c>
      <c r="AD99" s="642" t="s">
        <v>1893</v>
      </c>
      <c r="AE99" s="602"/>
      <c r="AF99" s="637" t="s">
        <v>2296</v>
      </c>
      <c r="AG99" s="642" t="s">
        <v>2413</v>
      </c>
      <c r="AH99" s="642" t="s">
        <v>2448</v>
      </c>
      <c r="AI99" s="644" t="s">
        <v>2592</v>
      </c>
    </row>
    <row r="100" spans="1:35" ht="100.5" customHeight="1" thickBot="1" x14ac:dyDescent="0.4">
      <c r="A100" s="184"/>
      <c r="B100" s="1319" t="s">
        <v>887</v>
      </c>
      <c r="C100" s="1333"/>
      <c r="D100" s="267"/>
      <c r="E100" s="268">
        <v>0.2</v>
      </c>
      <c r="F100" s="262"/>
      <c r="G100" s="192"/>
      <c r="H100" s="192"/>
      <c r="I100" s="198">
        <f>+AVERAGE(I101:I104)</f>
        <v>0.1875</v>
      </c>
      <c r="J100" s="198">
        <f>+AVERAGE(J101:J104)</f>
        <v>0.27083333333333331</v>
      </c>
      <c r="K100" s="198">
        <f>+K101+K102+K103+K104</f>
        <v>0.2</v>
      </c>
      <c r="L100" s="198">
        <f>+L101+L102+L103+L104</f>
        <v>0.26666666666666666</v>
      </c>
      <c r="M100" s="197"/>
      <c r="N100" s="197"/>
      <c r="O100" s="197"/>
      <c r="P100" s="197"/>
      <c r="Q100" s="197"/>
      <c r="R100" s="1218"/>
      <c r="S100" s="199">
        <f t="shared" si="30"/>
        <v>0</v>
      </c>
      <c r="T100" s="197"/>
      <c r="U100" s="221">
        <f>+AVERAGE(U101:U104)</f>
        <v>1</v>
      </c>
      <c r="V100" s="221">
        <f>+AVERAGE(V101:V104)</f>
        <v>1</v>
      </c>
      <c r="W100" s="221">
        <f>+(W101+W102+W103+W104)*E100</f>
        <v>0.16000000000000003</v>
      </c>
      <c r="X100" s="221">
        <f>+(X101+X102+X103+X104)*E100</f>
        <v>0.2</v>
      </c>
      <c r="Y100" s="198">
        <f>+AVERAGE(Y101:Y104)</f>
        <v>0.25510535714285715</v>
      </c>
      <c r="Z100" s="198">
        <f>+AVERAGE(Z101:Z104)</f>
        <v>1</v>
      </c>
      <c r="AA100" s="258">
        <f>+(AA101+AA102+AA103+AA104)*E100</f>
        <v>5.427928571428571E-2</v>
      </c>
      <c r="AB100" s="258">
        <f>+(AB101+AB102+AB103+AB104)</f>
        <v>1</v>
      </c>
      <c r="AC100" s="1106"/>
      <c r="AD100" s="602"/>
      <c r="AE100" s="602"/>
      <c r="AF100" s="602"/>
      <c r="AG100" s="602"/>
      <c r="AH100" s="602"/>
    </row>
    <row r="101" spans="1:35" ht="69.599999999999994" customHeight="1" thickBot="1" x14ac:dyDescent="0.4">
      <c r="A101" s="184"/>
      <c r="B101" s="1001" t="s">
        <v>888</v>
      </c>
      <c r="C101" s="1011" t="s">
        <v>1331</v>
      </c>
      <c r="D101" s="260" t="s">
        <v>825</v>
      </c>
      <c r="E101" s="264">
        <v>0.3</v>
      </c>
      <c r="F101" s="262">
        <v>60</v>
      </c>
      <c r="G101" s="199">
        <v>15</v>
      </c>
      <c r="H101" s="199">
        <v>15</v>
      </c>
      <c r="I101" s="205">
        <f>+G101/F101</f>
        <v>0.25</v>
      </c>
      <c r="J101" s="205">
        <f t="shared" si="44"/>
        <v>0.25</v>
      </c>
      <c r="K101" s="205">
        <f>+(G101/F101)*E101</f>
        <v>7.4999999999999997E-2</v>
      </c>
      <c r="L101" s="205">
        <f t="shared" si="45"/>
        <v>7.4999999999999997E-2</v>
      </c>
      <c r="M101" s="199">
        <v>17.672999999999998</v>
      </c>
      <c r="N101" s="608">
        <v>10.196</v>
      </c>
      <c r="O101" s="608">
        <v>22.79</v>
      </c>
      <c r="P101" s="608">
        <v>21.318000000000001</v>
      </c>
      <c r="Q101" s="608">
        <v>13.023</v>
      </c>
      <c r="R101" s="608">
        <v>5.4930000000000003</v>
      </c>
      <c r="S101" s="199">
        <f t="shared" si="30"/>
        <v>72.819999999999993</v>
      </c>
      <c r="T101" s="199">
        <f>+S101+M101</f>
        <v>90.492999999999995</v>
      </c>
      <c r="U101" s="223">
        <v>1</v>
      </c>
      <c r="V101" s="223">
        <v>1</v>
      </c>
      <c r="W101" s="223">
        <f>+U101*E101</f>
        <v>0.3</v>
      </c>
      <c r="X101" s="223">
        <f>+V101*E101</f>
        <v>0.3</v>
      </c>
      <c r="Y101" s="223">
        <f>+M101/F101</f>
        <v>0.29454999999999998</v>
      </c>
      <c r="Z101" s="266">
        <v>1</v>
      </c>
      <c r="AA101" s="266">
        <f>+Y101*E101</f>
        <v>8.8364999999999985E-2</v>
      </c>
      <c r="AB101" s="266">
        <f>+Z101*E101</f>
        <v>0.3</v>
      </c>
      <c r="AC101" s="725" t="s">
        <v>1852</v>
      </c>
      <c r="AD101" s="642" t="s">
        <v>1893</v>
      </c>
      <c r="AE101" s="637" t="s">
        <v>2284</v>
      </c>
      <c r="AF101" s="642" t="s">
        <v>2296</v>
      </c>
      <c r="AG101" s="637" t="s">
        <v>2435</v>
      </c>
      <c r="AH101" s="642" t="s">
        <v>2448</v>
      </c>
      <c r="AI101" s="637" t="s">
        <v>2567</v>
      </c>
    </row>
    <row r="102" spans="1:35" ht="68.400000000000006" customHeight="1" thickBot="1" x14ac:dyDescent="0.4">
      <c r="A102" s="184"/>
      <c r="B102" s="930" t="s">
        <v>889</v>
      </c>
      <c r="C102" s="931" t="s">
        <v>1332</v>
      </c>
      <c r="D102" s="260" t="s">
        <v>825</v>
      </c>
      <c r="E102" s="264">
        <v>0.2</v>
      </c>
      <c r="F102" s="262">
        <v>4</v>
      </c>
      <c r="G102" s="199">
        <v>1</v>
      </c>
      <c r="H102" s="199">
        <v>1</v>
      </c>
      <c r="I102" s="205">
        <f>+G102/F102</f>
        <v>0.25</v>
      </c>
      <c r="J102" s="205">
        <f t="shared" si="44"/>
        <v>0.25</v>
      </c>
      <c r="K102" s="205">
        <f>+(G102/F102)*E102</f>
        <v>0.05</v>
      </c>
      <c r="L102" s="205">
        <f t="shared" si="45"/>
        <v>0.05</v>
      </c>
      <c r="M102" s="199">
        <v>1.3892</v>
      </c>
      <c r="N102" s="608">
        <v>2.1442000000000001</v>
      </c>
      <c r="O102" s="608">
        <v>33.701999999999998</v>
      </c>
      <c r="P102" s="608">
        <v>39.475999999999999</v>
      </c>
      <c r="Q102" s="608">
        <v>8.157</v>
      </c>
      <c r="R102" s="608"/>
      <c r="S102" s="199">
        <f t="shared" si="30"/>
        <v>83.479199999999992</v>
      </c>
      <c r="T102" s="199">
        <f>+S102+M102</f>
        <v>84.868399999999994</v>
      </c>
      <c r="U102" s="223">
        <v>1</v>
      </c>
      <c r="V102" s="223">
        <v>1</v>
      </c>
      <c r="W102" s="223">
        <f>+U102*E102</f>
        <v>0.2</v>
      </c>
      <c r="X102" s="223">
        <f>+V102*E102</f>
        <v>0.2</v>
      </c>
      <c r="Y102" s="223">
        <f>+M102/F102</f>
        <v>0.3473</v>
      </c>
      <c r="Z102" s="266">
        <v>1</v>
      </c>
      <c r="AA102" s="266">
        <f>+Y102*E102</f>
        <v>6.9460000000000008E-2</v>
      </c>
      <c r="AB102" s="266">
        <f>+Z102*E102</f>
        <v>0.2</v>
      </c>
      <c r="AC102" s="725" t="s">
        <v>1852</v>
      </c>
      <c r="AD102" s="644" t="s">
        <v>1865</v>
      </c>
      <c r="AE102" s="602"/>
      <c r="AF102" s="644" t="s">
        <v>2331</v>
      </c>
      <c r="AG102" s="637" t="s">
        <v>2435</v>
      </c>
      <c r="AH102" s="642" t="s">
        <v>2448</v>
      </c>
      <c r="AI102" s="644" t="s">
        <v>2331</v>
      </c>
    </row>
    <row r="103" spans="1:35" ht="118.95" customHeight="1" thickBot="1" x14ac:dyDescent="0.4">
      <c r="A103" s="184"/>
      <c r="B103" s="930" t="s">
        <v>890</v>
      </c>
      <c r="C103" s="931" t="s">
        <v>1333</v>
      </c>
      <c r="D103" s="260" t="s">
        <v>825</v>
      </c>
      <c r="E103" s="264">
        <v>0.2</v>
      </c>
      <c r="F103" s="262">
        <v>3</v>
      </c>
      <c r="G103" s="199">
        <v>0</v>
      </c>
      <c r="H103" s="199">
        <v>1</v>
      </c>
      <c r="I103" s="205">
        <v>0</v>
      </c>
      <c r="J103" s="205">
        <f t="shared" si="44"/>
        <v>0.33333333333333331</v>
      </c>
      <c r="K103" s="205"/>
      <c r="L103" s="205">
        <f t="shared" si="45"/>
        <v>6.6666666666666666E-2</v>
      </c>
      <c r="M103" s="199"/>
      <c r="N103" s="608">
        <v>0</v>
      </c>
      <c r="O103" s="608">
        <v>3</v>
      </c>
      <c r="P103" s="608">
        <v>0</v>
      </c>
      <c r="Q103" s="608">
        <v>1</v>
      </c>
      <c r="R103" s="272"/>
      <c r="S103" s="199">
        <f t="shared" si="30"/>
        <v>4</v>
      </c>
      <c r="T103" s="199">
        <f>+S103+M103</f>
        <v>4</v>
      </c>
      <c r="U103" s="223"/>
      <c r="V103" s="223">
        <v>1</v>
      </c>
      <c r="W103" s="223">
        <v>0</v>
      </c>
      <c r="X103" s="223">
        <f>+V103*E103</f>
        <v>0.2</v>
      </c>
      <c r="Y103" s="223">
        <v>0</v>
      </c>
      <c r="Z103" s="266">
        <v>1</v>
      </c>
      <c r="AA103" s="266">
        <v>0</v>
      </c>
      <c r="AB103" s="266">
        <f>+Z103*E103</f>
        <v>0.2</v>
      </c>
      <c r="AC103" s="725" t="s">
        <v>1852</v>
      </c>
      <c r="AD103" s="642" t="s">
        <v>1893</v>
      </c>
      <c r="AE103" s="637" t="s">
        <v>2284</v>
      </c>
      <c r="AF103" s="642" t="s">
        <v>2332</v>
      </c>
      <c r="AG103" s="637" t="s">
        <v>2435</v>
      </c>
      <c r="AH103" s="642" t="s">
        <v>2448</v>
      </c>
      <c r="AI103" s="644" t="s">
        <v>2331</v>
      </c>
    </row>
    <row r="104" spans="1:35" ht="82.95" customHeight="1" thickBot="1" x14ac:dyDescent="0.4">
      <c r="A104" s="184"/>
      <c r="B104" s="930" t="s">
        <v>891</v>
      </c>
      <c r="C104" s="931" t="s">
        <v>1334</v>
      </c>
      <c r="D104" s="260" t="s">
        <v>825</v>
      </c>
      <c r="E104" s="264">
        <v>0.3</v>
      </c>
      <c r="F104" s="262">
        <v>7</v>
      </c>
      <c r="G104" s="199">
        <v>1.75</v>
      </c>
      <c r="H104" s="199">
        <v>1.75</v>
      </c>
      <c r="I104" s="205">
        <f>+G104/F104</f>
        <v>0.25</v>
      </c>
      <c r="J104" s="205">
        <f t="shared" si="44"/>
        <v>0.25</v>
      </c>
      <c r="K104" s="205">
        <f>+(G104/F104)*E104</f>
        <v>7.4999999999999997E-2</v>
      </c>
      <c r="L104" s="205">
        <f t="shared" si="45"/>
        <v>7.4999999999999997E-2</v>
      </c>
      <c r="M104" s="199">
        <v>2.65</v>
      </c>
      <c r="N104" s="608">
        <v>3.198</v>
      </c>
      <c r="O104" s="608">
        <v>7.8051000000000004</v>
      </c>
      <c r="P104" s="608">
        <v>0</v>
      </c>
      <c r="Q104" s="608">
        <v>0</v>
      </c>
      <c r="R104" s="272"/>
      <c r="S104" s="638">
        <f>+N104+O104</f>
        <v>11.0031</v>
      </c>
      <c r="T104" s="199">
        <f>+S104+M104</f>
        <v>13.6531</v>
      </c>
      <c r="U104" s="223">
        <v>1</v>
      </c>
      <c r="V104" s="223">
        <v>1</v>
      </c>
      <c r="W104" s="223">
        <f>+U104*E104</f>
        <v>0.3</v>
      </c>
      <c r="X104" s="223">
        <f>+V104*E104</f>
        <v>0.3</v>
      </c>
      <c r="Y104" s="223">
        <f>+M104/F104</f>
        <v>0.37857142857142856</v>
      </c>
      <c r="Z104" s="266">
        <v>1</v>
      </c>
      <c r="AA104" s="266">
        <f>+Y104*E104</f>
        <v>0.11357142857142856</v>
      </c>
      <c r="AB104" s="266">
        <f>+Z104*E104</f>
        <v>0.3</v>
      </c>
      <c r="AC104" s="725" t="s">
        <v>1852</v>
      </c>
      <c r="AD104" s="642" t="s">
        <v>1893</v>
      </c>
      <c r="AE104" s="602"/>
      <c r="AF104" s="642" t="s">
        <v>2332</v>
      </c>
      <c r="AG104" s="637" t="s">
        <v>2435</v>
      </c>
      <c r="AH104" s="642" t="s">
        <v>2448</v>
      </c>
      <c r="AI104" s="644" t="s">
        <v>2331</v>
      </c>
    </row>
    <row r="105" spans="1:35" ht="86.25" customHeight="1" thickBot="1" x14ac:dyDescent="0.4">
      <c r="A105" s="184"/>
      <c r="B105" s="1319" t="s">
        <v>1814</v>
      </c>
      <c r="C105" s="1333"/>
      <c r="D105" s="267"/>
      <c r="E105" s="268">
        <v>0.15</v>
      </c>
      <c r="F105" s="262"/>
      <c r="G105" s="192"/>
      <c r="H105" s="192"/>
      <c r="I105" s="198">
        <f>+AVERAGE(I106:I108)</f>
        <v>0.25</v>
      </c>
      <c r="J105" s="198"/>
      <c r="K105" s="198">
        <f>+K106+K107+K108</f>
        <v>0.25</v>
      </c>
      <c r="L105" s="198"/>
      <c r="M105" s="197"/>
      <c r="N105" s="197"/>
      <c r="O105" s="197"/>
      <c r="P105" s="197"/>
      <c r="Q105" s="197"/>
      <c r="R105" s="1218"/>
      <c r="S105" s="197"/>
      <c r="T105" s="197"/>
      <c r="U105" s="221">
        <f>+AVERAGE(U106:U108)</f>
        <v>0</v>
      </c>
      <c r="V105" s="221">
        <f>+AVERAGE(V106:V108)</f>
        <v>0.97499999999999998</v>
      </c>
      <c r="W105" s="221">
        <f>+(W106+W107+W108)*E105</f>
        <v>0</v>
      </c>
      <c r="X105" s="221"/>
      <c r="Y105" s="198">
        <f>+AVERAGE(Y106:Y108)</f>
        <v>0</v>
      </c>
      <c r="Z105" s="198">
        <f>+AVERAGE(Z106:Z108)</f>
        <v>0.19499999999999998</v>
      </c>
      <c r="AA105" s="258">
        <f>+(AA106+AA107+AA108)*E105</f>
        <v>0</v>
      </c>
      <c r="AB105" s="258">
        <f>+(AB106+AB107+AB108)</f>
        <v>0.26324999999999998</v>
      </c>
      <c r="AC105" s="1106"/>
      <c r="AD105" s="602"/>
      <c r="AE105" s="602"/>
      <c r="AF105" s="602"/>
      <c r="AG105" s="602"/>
      <c r="AH105" s="602"/>
    </row>
    <row r="106" spans="1:35" ht="88.95" customHeight="1" thickBot="1" x14ac:dyDescent="0.4">
      <c r="A106" s="184"/>
      <c r="B106" s="1001" t="s">
        <v>892</v>
      </c>
      <c r="C106" s="1011" t="s">
        <v>1335</v>
      </c>
      <c r="D106" s="267" t="s">
        <v>863</v>
      </c>
      <c r="E106" s="264">
        <v>0.3</v>
      </c>
      <c r="F106" s="262">
        <v>2</v>
      </c>
      <c r="G106" s="681">
        <v>0.5</v>
      </c>
      <c r="H106" s="682">
        <v>0</v>
      </c>
      <c r="I106" s="205">
        <f>+G106/F106</f>
        <v>0.25</v>
      </c>
      <c r="J106" s="205"/>
      <c r="K106" s="205">
        <f>+(G106/F106)*E106</f>
        <v>7.4999999999999997E-2</v>
      </c>
      <c r="L106" s="205"/>
      <c r="M106" s="199">
        <v>0</v>
      </c>
      <c r="N106" s="608">
        <v>0</v>
      </c>
      <c r="O106" s="608">
        <v>0</v>
      </c>
      <c r="P106" s="608">
        <v>0</v>
      </c>
      <c r="Q106" s="608">
        <v>0</v>
      </c>
      <c r="R106" s="608">
        <v>0</v>
      </c>
      <c r="S106" s="199">
        <f>+N106+O106+P106+Q106+R106</f>
        <v>0</v>
      </c>
      <c r="T106" s="199">
        <f>+S106+M106</f>
        <v>0</v>
      </c>
      <c r="U106" s="223">
        <f>+(M106/G106)</f>
        <v>0</v>
      </c>
      <c r="V106" s="223"/>
      <c r="W106" s="223">
        <f>+U106*E106</f>
        <v>0</v>
      </c>
      <c r="X106" s="223"/>
      <c r="Y106" s="223">
        <f>+M106/F106</f>
        <v>0</v>
      </c>
      <c r="Z106" s="266">
        <f>+T106/F106</f>
        <v>0</v>
      </c>
      <c r="AA106" s="266">
        <f>+Y106*E106</f>
        <v>0</v>
      </c>
      <c r="AB106" s="266">
        <f>+Z106*E106</f>
        <v>0</v>
      </c>
      <c r="AC106" s="725" t="s">
        <v>1852</v>
      </c>
      <c r="AD106" s="642" t="s">
        <v>1893</v>
      </c>
      <c r="AE106" s="637" t="s">
        <v>2284</v>
      </c>
      <c r="AF106" s="642" t="s">
        <v>2296</v>
      </c>
      <c r="AG106" s="642" t="s">
        <v>2413</v>
      </c>
      <c r="AH106" s="642" t="s">
        <v>2448</v>
      </c>
      <c r="AI106" s="637" t="s">
        <v>2567</v>
      </c>
    </row>
    <row r="107" spans="1:35" ht="54" customHeight="1" thickBot="1" x14ac:dyDescent="0.4">
      <c r="A107" s="184"/>
      <c r="B107" s="1001" t="s">
        <v>893</v>
      </c>
      <c r="C107" s="1011" t="s">
        <v>1336</v>
      </c>
      <c r="D107" s="267" t="s">
        <v>863</v>
      </c>
      <c r="E107" s="264">
        <v>0.45</v>
      </c>
      <c r="F107" s="262">
        <v>10</v>
      </c>
      <c r="G107" s="285">
        <v>2.5</v>
      </c>
      <c r="H107" s="598">
        <v>6</v>
      </c>
      <c r="I107" s="205">
        <f>+G107/F107</f>
        <v>0.25</v>
      </c>
      <c r="J107" s="205"/>
      <c r="K107" s="205">
        <f>+(G107/F107)*E107</f>
        <v>0.1125</v>
      </c>
      <c r="L107" s="205"/>
      <c r="M107" s="199">
        <v>0</v>
      </c>
      <c r="N107" s="608"/>
      <c r="O107" s="608">
        <v>0</v>
      </c>
      <c r="P107" s="608">
        <v>2.5</v>
      </c>
      <c r="Q107" s="608">
        <v>1</v>
      </c>
      <c r="R107" s="608">
        <v>2.35</v>
      </c>
      <c r="S107" s="199">
        <f>+N107+O107+P107+Q107+R107</f>
        <v>5.85</v>
      </c>
      <c r="T107" s="199">
        <f>+S107+M107</f>
        <v>5.85</v>
      </c>
      <c r="U107" s="223">
        <f>+(M107/G107)</f>
        <v>0</v>
      </c>
      <c r="V107" s="223">
        <f>+S107/H107</f>
        <v>0.97499999999999998</v>
      </c>
      <c r="W107" s="223">
        <f>+U107*E107</f>
        <v>0</v>
      </c>
      <c r="X107" s="223"/>
      <c r="Y107" s="223">
        <f>+M107/F107</f>
        <v>0</v>
      </c>
      <c r="Z107" s="266">
        <f>+T107/F107</f>
        <v>0.58499999999999996</v>
      </c>
      <c r="AA107" s="266">
        <f>+Y107*E107</f>
        <v>0</v>
      </c>
      <c r="AB107" s="266">
        <f>+Z107*E107</f>
        <v>0.26324999999999998</v>
      </c>
      <c r="AC107" s="725" t="s">
        <v>1852</v>
      </c>
      <c r="AD107" s="642" t="s">
        <v>1893</v>
      </c>
      <c r="AE107" s="637" t="s">
        <v>2284</v>
      </c>
      <c r="AF107" s="642" t="s">
        <v>2296</v>
      </c>
      <c r="AG107" s="765" t="s">
        <v>2391</v>
      </c>
      <c r="AH107" s="642" t="s">
        <v>2448</v>
      </c>
      <c r="AI107" s="637" t="s">
        <v>2567</v>
      </c>
    </row>
    <row r="108" spans="1:35" ht="79.2" customHeight="1" thickBot="1" x14ac:dyDescent="0.4">
      <c r="A108" s="184"/>
      <c r="B108" s="1001" t="s">
        <v>894</v>
      </c>
      <c r="C108" s="1011" t="s">
        <v>1337</v>
      </c>
      <c r="D108" s="267" t="s">
        <v>863</v>
      </c>
      <c r="E108" s="264">
        <v>0.25</v>
      </c>
      <c r="F108" s="262">
        <v>10000</v>
      </c>
      <c r="G108" s="681">
        <v>2500</v>
      </c>
      <c r="H108" s="682">
        <v>0</v>
      </c>
      <c r="I108" s="205">
        <f>+G108/F108</f>
        <v>0.25</v>
      </c>
      <c r="J108" s="205"/>
      <c r="K108" s="205">
        <f>+(G108/F108)*E108</f>
        <v>6.25E-2</v>
      </c>
      <c r="L108" s="205"/>
      <c r="M108" s="199">
        <v>0</v>
      </c>
      <c r="N108" s="608"/>
      <c r="O108" s="608">
        <v>0</v>
      </c>
      <c r="P108" s="608">
        <v>0</v>
      </c>
      <c r="Q108" s="608">
        <v>0</v>
      </c>
      <c r="R108" s="608">
        <v>0</v>
      </c>
      <c r="S108" s="199">
        <f t="shared" ref="S108:S170" si="46">+N108+O108+P108+Q108+R108</f>
        <v>0</v>
      </c>
      <c r="T108" s="199">
        <f>+S108+M108</f>
        <v>0</v>
      </c>
      <c r="U108" s="223">
        <f>+(M108/G108)</f>
        <v>0</v>
      </c>
      <c r="V108" s="223"/>
      <c r="W108" s="223">
        <f>+U108*E108</f>
        <v>0</v>
      </c>
      <c r="X108" s="223"/>
      <c r="Y108" s="223">
        <f>+M108/F108</f>
        <v>0</v>
      </c>
      <c r="Z108" s="266">
        <f>+T108/F108</f>
        <v>0</v>
      </c>
      <c r="AA108" s="266">
        <f>+Y108*E108</f>
        <v>0</v>
      </c>
      <c r="AB108" s="266">
        <f>+Z108*E108</f>
        <v>0</v>
      </c>
      <c r="AC108" s="725" t="s">
        <v>1852</v>
      </c>
      <c r="AD108" s="642" t="s">
        <v>1893</v>
      </c>
      <c r="AE108" s="637" t="s">
        <v>2284</v>
      </c>
      <c r="AF108" s="642" t="s">
        <v>2296</v>
      </c>
      <c r="AG108" s="642" t="s">
        <v>2413</v>
      </c>
      <c r="AH108" s="642" t="s">
        <v>2448</v>
      </c>
      <c r="AI108" s="637" t="s">
        <v>2567</v>
      </c>
    </row>
    <row r="109" spans="1:35" ht="57" customHeight="1" thickBot="1" x14ac:dyDescent="0.4">
      <c r="A109" s="184"/>
      <c r="B109" s="1319" t="s">
        <v>1744</v>
      </c>
      <c r="C109" s="1333"/>
      <c r="D109" s="267"/>
      <c r="E109" s="268">
        <v>0.15</v>
      </c>
      <c r="F109" s="262"/>
      <c r="G109" s="192"/>
      <c r="H109" s="192"/>
      <c r="I109" s="198">
        <f>+AVERAGE(I110:I120)</f>
        <v>0.30482468088463477</v>
      </c>
      <c r="J109" s="198">
        <f>+AVERAGE(J110:J120)</f>
        <v>0.4002361439382689</v>
      </c>
      <c r="K109" s="198">
        <f>+K110+K111+K112+K113+K114+K115+K116+K117+K118+K119+K120</f>
        <v>0.23385974470770779</v>
      </c>
      <c r="L109" s="198">
        <f>+L110+L111+L112+L113+L114+L115+L116+L117+L118+L119+L120</f>
        <v>0.3918847583320958</v>
      </c>
      <c r="M109" s="197"/>
      <c r="N109" s="197"/>
      <c r="O109" s="197"/>
      <c r="P109" s="197"/>
      <c r="Q109" s="197"/>
      <c r="R109" s="1218"/>
      <c r="S109" s="199"/>
      <c r="T109" s="197"/>
      <c r="U109" s="221">
        <f>+AVERAGE(U110:U120)</f>
        <v>0.87337500000000001</v>
      </c>
      <c r="V109" s="221">
        <f>+AVERAGE(V110:V120)</f>
        <v>0.73092473296424987</v>
      </c>
      <c r="W109" s="221">
        <f>+(W110+W111+W112+W113+W114+W115+W116+W117+W118+W119+W120)*E109</f>
        <v>0.104805</v>
      </c>
      <c r="X109" s="221">
        <f>+(X110+X111+X112+X113+X114+X115+X116+X117+X118+X119+X120)*E109</f>
        <v>0.11448921460246757</v>
      </c>
      <c r="Y109" s="198">
        <f>+AVERAGE(Y110:Y120)</f>
        <v>0.296857707518147</v>
      </c>
      <c r="Z109" s="198">
        <f>+AVERAGE(Z110:Z120)</f>
        <v>0.56493453358717383</v>
      </c>
      <c r="AA109" s="258">
        <f>+(AA110+AA111+AA112+AA113+AA114+AA115+AA116+AA117+AA118+AA119+AA120)*E109</f>
        <v>3.3372924902177636E-2</v>
      </c>
      <c r="AB109" s="258">
        <f>+(AB110+AB111+AB112+AB113+AB114+AB115+AB116+AB117+AB118+AB119+AB120)</f>
        <v>0.57192798694589131</v>
      </c>
      <c r="AC109" s="1106"/>
      <c r="AD109" s="847"/>
      <c r="AE109" s="602"/>
      <c r="AF109" s="602"/>
      <c r="AG109" s="602"/>
      <c r="AH109" s="602"/>
    </row>
    <row r="110" spans="1:35" ht="65.400000000000006" customHeight="1" thickBot="1" x14ac:dyDescent="0.4">
      <c r="A110" s="184"/>
      <c r="B110" s="1001" t="s">
        <v>895</v>
      </c>
      <c r="C110" s="1011" t="s">
        <v>1338</v>
      </c>
      <c r="D110" s="267" t="s">
        <v>48</v>
      </c>
      <c r="E110" s="264">
        <v>0.1</v>
      </c>
      <c r="F110" s="262">
        <v>2289</v>
      </c>
      <c r="G110" s="199">
        <v>570</v>
      </c>
      <c r="H110" s="199">
        <v>493</v>
      </c>
      <c r="I110" s="205">
        <f t="shared" ref="I110:I120" si="47">+G110/F110</f>
        <v>0.24901703800786371</v>
      </c>
      <c r="J110" s="205">
        <f t="shared" si="44"/>
        <v>0.21537789427697684</v>
      </c>
      <c r="K110" s="205">
        <f t="shared" ref="K110:K120" si="48">+(G110/F110)*E110</f>
        <v>2.4901703800786372E-2</v>
      </c>
      <c r="L110" s="205">
        <f t="shared" si="45"/>
        <v>2.1537789427697684E-2</v>
      </c>
      <c r="M110" s="199">
        <v>647</v>
      </c>
      <c r="N110" s="608">
        <v>153</v>
      </c>
      <c r="O110" s="608">
        <v>238</v>
      </c>
      <c r="P110" s="608">
        <v>1</v>
      </c>
      <c r="Q110" s="608">
        <v>0</v>
      </c>
      <c r="R110" s="608">
        <v>0</v>
      </c>
      <c r="S110" s="199">
        <f>+N110+O110+P110+Q110+R110</f>
        <v>392</v>
      </c>
      <c r="T110" s="199">
        <f t="shared" ref="T110:T120" si="49">+S110+M110</f>
        <v>1039</v>
      </c>
      <c r="U110" s="223">
        <v>1</v>
      </c>
      <c r="V110" s="223">
        <f>+S110/H110</f>
        <v>0.79513184584178498</v>
      </c>
      <c r="W110" s="223">
        <f>+U110*E110</f>
        <v>0.1</v>
      </c>
      <c r="X110" s="223">
        <f t="shared" ref="X110:X120" si="50">+V110*E110</f>
        <v>7.9513184584178498E-2</v>
      </c>
      <c r="Y110" s="223">
        <f>+M110/F110</f>
        <v>0.28265618173875057</v>
      </c>
      <c r="Z110" s="266">
        <f t="shared" ref="Z110:Z119" si="51">+T110/F110</f>
        <v>0.45391000436871998</v>
      </c>
      <c r="AA110" s="266">
        <f>+Y110*E110</f>
        <v>2.8265618173875059E-2</v>
      </c>
      <c r="AB110" s="266">
        <f t="shared" ref="AB110:AB120" si="52">+Z110*E110</f>
        <v>4.5391000436871998E-2</v>
      </c>
      <c r="AC110" s="725" t="s">
        <v>1852</v>
      </c>
      <c r="AD110" s="642" t="s">
        <v>1893</v>
      </c>
      <c r="AE110" s="642" t="s">
        <v>2276</v>
      </c>
      <c r="AF110" s="642" t="s">
        <v>2296</v>
      </c>
      <c r="AG110" s="642" t="s">
        <v>2413</v>
      </c>
      <c r="AH110" s="642" t="s">
        <v>2448</v>
      </c>
      <c r="AI110" s="637" t="s">
        <v>2567</v>
      </c>
    </row>
    <row r="111" spans="1:35" ht="69" customHeight="1" thickBot="1" x14ac:dyDescent="0.4">
      <c r="A111" s="184"/>
      <c r="B111" s="1001" t="s">
        <v>896</v>
      </c>
      <c r="C111" s="1011" t="s">
        <v>1536</v>
      </c>
      <c r="D111" s="267" t="s">
        <v>48</v>
      </c>
      <c r="E111" s="264">
        <v>0.1</v>
      </c>
      <c r="F111" s="262">
        <v>190.58</v>
      </c>
      <c r="G111" s="199">
        <v>30</v>
      </c>
      <c r="H111" s="199">
        <v>70.39</v>
      </c>
      <c r="I111" s="205">
        <f t="shared" si="47"/>
        <v>0.15741420925595551</v>
      </c>
      <c r="J111" s="205">
        <f t="shared" si="44"/>
        <v>0.36934620631755694</v>
      </c>
      <c r="K111" s="205">
        <f t="shared" si="48"/>
        <v>1.5741420925595551E-2</v>
      </c>
      <c r="L111" s="205">
        <f t="shared" si="45"/>
        <v>3.6934620631755698E-2</v>
      </c>
      <c r="M111" s="199">
        <v>19.61</v>
      </c>
      <c r="N111" s="608">
        <v>3</v>
      </c>
      <c r="O111" s="608">
        <v>16</v>
      </c>
      <c r="P111" s="608">
        <v>0</v>
      </c>
      <c r="Q111" s="608">
        <v>0</v>
      </c>
      <c r="R111" s="608">
        <v>0</v>
      </c>
      <c r="S111" s="199">
        <f t="shared" si="46"/>
        <v>19</v>
      </c>
      <c r="T111" s="199">
        <f t="shared" si="49"/>
        <v>38.61</v>
      </c>
      <c r="U111" s="223">
        <f>+(M111/G111)</f>
        <v>0.65366666666666662</v>
      </c>
      <c r="V111" s="223">
        <f>+S111/H111</f>
        <v>0.26992470521380879</v>
      </c>
      <c r="W111" s="223">
        <f>+U111*E111</f>
        <v>6.536666666666667E-2</v>
      </c>
      <c r="X111" s="223">
        <f t="shared" si="50"/>
        <v>2.699247052138088E-2</v>
      </c>
      <c r="Y111" s="223">
        <f>+M111/F111</f>
        <v>0.10289642145030957</v>
      </c>
      <c r="Z111" s="266">
        <f t="shared" si="51"/>
        <v>0.20259208731241471</v>
      </c>
      <c r="AA111" s="266">
        <f>+Y111*E111</f>
        <v>1.0289642145030958E-2</v>
      </c>
      <c r="AB111" s="266">
        <f t="shared" si="52"/>
        <v>2.0259208731241471E-2</v>
      </c>
      <c r="AC111" s="725" t="s">
        <v>1852</v>
      </c>
      <c r="AD111" s="642" t="s">
        <v>1893</v>
      </c>
      <c r="AE111" s="642" t="s">
        <v>2276</v>
      </c>
      <c r="AF111" s="642" t="s">
        <v>2296</v>
      </c>
      <c r="AG111" s="642" t="s">
        <v>2413</v>
      </c>
      <c r="AH111" s="642" t="s">
        <v>2448</v>
      </c>
      <c r="AI111" s="637" t="s">
        <v>2567</v>
      </c>
    </row>
    <row r="112" spans="1:35" ht="127.95" customHeight="1" thickBot="1" x14ac:dyDescent="0.4">
      <c r="A112" s="184"/>
      <c r="B112" s="1001" t="s">
        <v>897</v>
      </c>
      <c r="C112" s="1011" t="s">
        <v>1339</v>
      </c>
      <c r="D112" s="267" t="s">
        <v>1542</v>
      </c>
      <c r="E112" s="264">
        <v>0.05</v>
      </c>
      <c r="F112" s="262">
        <v>20</v>
      </c>
      <c r="G112" s="199">
        <v>0</v>
      </c>
      <c r="H112" s="199">
        <v>10.1</v>
      </c>
      <c r="I112" s="205"/>
      <c r="J112" s="205">
        <f t="shared" si="44"/>
        <v>0.505</v>
      </c>
      <c r="K112" s="205"/>
      <c r="L112" s="205">
        <f t="shared" si="45"/>
        <v>2.5250000000000002E-2</v>
      </c>
      <c r="M112" s="199"/>
      <c r="N112" s="608">
        <v>0.1</v>
      </c>
      <c r="O112" s="608">
        <v>0.15</v>
      </c>
      <c r="P112" s="608">
        <v>0</v>
      </c>
      <c r="Q112" s="608">
        <v>3</v>
      </c>
      <c r="R112" s="608">
        <v>0</v>
      </c>
      <c r="S112" s="199">
        <f t="shared" si="46"/>
        <v>3.25</v>
      </c>
      <c r="T112" s="199">
        <f t="shared" si="49"/>
        <v>3.25</v>
      </c>
      <c r="U112" s="223"/>
      <c r="V112" s="223">
        <f>+S112/H112</f>
        <v>0.32178217821782179</v>
      </c>
      <c r="W112" s="223"/>
      <c r="X112" s="223">
        <f t="shared" si="50"/>
        <v>1.608910891089109E-2</v>
      </c>
      <c r="Y112" s="223"/>
      <c r="Z112" s="266">
        <f t="shared" si="51"/>
        <v>0.16250000000000001</v>
      </c>
      <c r="AA112" s="266">
        <v>0</v>
      </c>
      <c r="AB112" s="266">
        <f t="shared" si="52"/>
        <v>8.1250000000000003E-3</v>
      </c>
      <c r="AC112" s="725" t="s">
        <v>1856</v>
      </c>
      <c r="AD112" s="644" t="s">
        <v>1900</v>
      </c>
      <c r="AE112" s="642" t="s">
        <v>2282</v>
      </c>
      <c r="AF112" s="642" t="s">
        <v>2302</v>
      </c>
      <c r="AG112" s="765" t="s">
        <v>2459</v>
      </c>
      <c r="AH112" s="642" t="s">
        <v>2452</v>
      </c>
      <c r="AI112" s="637" t="s">
        <v>2567</v>
      </c>
    </row>
    <row r="113" spans="1:35" ht="50.4" customHeight="1" thickBot="1" x14ac:dyDescent="0.4">
      <c r="A113" s="184"/>
      <c r="B113" s="1001" t="s">
        <v>898</v>
      </c>
      <c r="C113" s="1011" t="s">
        <v>1340</v>
      </c>
      <c r="D113" s="267" t="s">
        <v>48</v>
      </c>
      <c r="E113" s="264">
        <v>0.2</v>
      </c>
      <c r="F113" s="262">
        <v>1</v>
      </c>
      <c r="G113" s="199">
        <v>0.25</v>
      </c>
      <c r="H113" s="199">
        <v>0.25</v>
      </c>
      <c r="I113" s="205">
        <f t="shared" si="47"/>
        <v>0.25</v>
      </c>
      <c r="J113" s="205">
        <f t="shared" si="44"/>
        <v>0.25</v>
      </c>
      <c r="K113" s="205">
        <f t="shared" si="48"/>
        <v>0.05</v>
      </c>
      <c r="L113" s="205">
        <f t="shared" si="45"/>
        <v>0.05</v>
      </c>
      <c r="M113" s="199">
        <v>0.25</v>
      </c>
      <c r="N113" s="608">
        <v>0.15</v>
      </c>
      <c r="O113" s="608">
        <v>0.01</v>
      </c>
      <c r="P113" s="608">
        <v>0</v>
      </c>
      <c r="Q113" s="608">
        <v>0.02</v>
      </c>
      <c r="R113" s="608">
        <v>0</v>
      </c>
      <c r="S113" s="199">
        <f t="shared" si="46"/>
        <v>0.18</v>
      </c>
      <c r="T113" s="199">
        <f t="shared" si="49"/>
        <v>0.43</v>
      </c>
      <c r="U113" s="223">
        <f>+(M113/G113)</f>
        <v>1</v>
      </c>
      <c r="V113" s="223">
        <f>+S113/H113</f>
        <v>0.72</v>
      </c>
      <c r="W113" s="223">
        <f>+U113*E113</f>
        <v>0.2</v>
      </c>
      <c r="X113" s="223">
        <f t="shared" si="50"/>
        <v>0.14399999999999999</v>
      </c>
      <c r="Y113" s="223">
        <f>+M113/F113</f>
        <v>0.25</v>
      </c>
      <c r="Z113" s="266">
        <f t="shared" si="51"/>
        <v>0.43</v>
      </c>
      <c r="AA113" s="266">
        <f>+Y113*E113</f>
        <v>0.05</v>
      </c>
      <c r="AB113" s="266">
        <f t="shared" si="52"/>
        <v>8.6000000000000007E-2</v>
      </c>
      <c r="AC113" s="725" t="s">
        <v>1852</v>
      </c>
      <c r="AD113" s="642" t="s">
        <v>1893</v>
      </c>
      <c r="AE113" s="642" t="s">
        <v>2276</v>
      </c>
      <c r="AF113" s="642" t="s">
        <v>2296</v>
      </c>
      <c r="AG113" s="642" t="s">
        <v>2413</v>
      </c>
      <c r="AH113" s="642" t="s">
        <v>2448</v>
      </c>
      <c r="AI113" s="637" t="s">
        <v>2567</v>
      </c>
    </row>
    <row r="114" spans="1:35" ht="58.2" customHeight="1" thickBot="1" x14ac:dyDescent="0.4">
      <c r="A114" s="184"/>
      <c r="B114" s="1001" t="s">
        <v>899</v>
      </c>
      <c r="C114" s="1011" t="s">
        <v>1341</v>
      </c>
      <c r="D114" s="267" t="s">
        <v>48</v>
      </c>
      <c r="E114" s="264">
        <v>0.1</v>
      </c>
      <c r="F114" s="262">
        <v>14</v>
      </c>
      <c r="G114" s="199">
        <v>3</v>
      </c>
      <c r="H114" s="199">
        <v>5</v>
      </c>
      <c r="I114" s="205">
        <f t="shared" si="47"/>
        <v>0.21428571428571427</v>
      </c>
      <c r="J114" s="205">
        <f t="shared" si="44"/>
        <v>0.35714285714285715</v>
      </c>
      <c r="K114" s="205">
        <f t="shared" si="48"/>
        <v>2.1428571428571429E-2</v>
      </c>
      <c r="L114" s="205">
        <f t="shared" si="45"/>
        <v>3.5714285714285719E-2</v>
      </c>
      <c r="M114" s="199">
        <v>1</v>
      </c>
      <c r="N114" s="608">
        <v>0</v>
      </c>
      <c r="O114" s="608">
        <v>2</v>
      </c>
      <c r="P114" s="608">
        <v>1</v>
      </c>
      <c r="Q114" s="608">
        <v>2</v>
      </c>
      <c r="R114" s="608">
        <v>1</v>
      </c>
      <c r="S114" s="199">
        <f t="shared" si="46"/>
        <v>6</v>
      </c>
      <c r="T114" s="199">
        <f t="shared" si="49"/>
        <v>7</v>
      </c>
      <c r="U114" s="223">
        <f>+(M114/G114)</f>
        <v>0.33333333333333331</v>
      </c>
      <c r="V114" s="223">
        <v>1</v>
      </c>
      <c r="W114" s="223">
        <f>+U114*E114</f>
        <v>3.3333333333333333E-2</v>
      </c>
      <c r="X114" s="223">
        <f t="shared" si="50"/>
        <v>0.1</v>
      </c>
      <c r="Y114" s="223">
        <f>+M114/F114</f>
        <v>7.1428571428571425E-2</v>
      </c>
      <c r="Z114" s="266">
        <f t="shared" si="51"/>
        <v>0.5</v>
      </c>
      <c r="AA114" s="266">
        <f>+Y114*E114</f>
        <v>7.1428571428571426E-3</v>
      </c>
      <c r="AB114" s="266">
        <f t="shared" si="52"/>
        <v>0.05</v>
      </c>
      <c r="AC114" s="725" t="s">
        <v>1852</v>
      </c>
      <c r="AD114" s="642" t="s">
        <v>1894</v>
      </c>
      <c r="AE114" s="642" t="s">
        <v>2276</v>
      </c>
      <c r="AF114" s="642" t="s">
        <v>2296</v>
      </c>
      <c r="AG114" s="642" t="s">
        <v>2413</v>
      </c>
      <c r="AH114" s="642" t="s">
        <v>2448</v>
      </c>
      <c r="AI114" s="637" t="s">
        <v>2567</v>
      </c>
    </row>
    <row r="115" spans="1:35" ht="54" customHeight="1" thickBot="1" x14ac:dyDescent="0.4">
      <c r="A115" s="184"/>
      <c r="B115" s="1001" t="s">
        <v>900</v>
      </c>
      <c r="C115" s="1011" t="s">
        <v>1342</v>
      </c>
      <c r="D115" s="267" t="s">
        <v>48</v>
      </c>
      <c r="E115" s="264">
        <v>0.05</v>
      </c>
      <c r="F115" s="262">
        <v>10</v>
      </c>
      <c r="G115" s="199">
        <v>2</v>
      </c>
      <c r="H115" s="199">
        <v>2</v>
      </c>
      <c r="I115" s="205">
        <f t="shared" si="47"/>
        <v>0.2</v>
      </c>
      <c r="J115" s="205">
        <f t="shared" si="44"/>
        <v>0.2</v>
      </c>
      <c r="K115" s="205">
        <f t="shared" si="48"/>
        <v>1.0000000000000002E-2</v>
      </c>
      <c r="L115" s="205">
        <f t="shared" si="45"/>
        <v>1.0000000000000002E-2</v>
      </c>
      <c r="M115" s="199">
        <v>3</v>
      </c>
      <c r="N115" s="608">
        <v>0</v>
      </c>
      <c r="O115" s="608">
        <v>4</v>
      </c>
      <c r="P115" s="608">
        <v>1</v>
      </c>
      <c r="Q115" s="608">
        <v>0</v>
      </c>
      <c r="R115" s="608">
        <v>0</v>
      </c>
      <c r="S115" s="199">
        <f t="shared" si="46"/>
        <v>5</v>
      </c>
      <c r="T115" s="199">
        <f t="shared" si="49"/>
        <v>8</v>
      </c>
      <c r="U115" s="223">
        <v>1</v>
      </c>
      <c r="V115" s="223">
        <v>1</v>
      </c>
      <c r="W115" s="223">
        <f>+U115*E115</f>
        <v>0.05</v>
      </c>
      <c r="X115" s="223">
        <f t="shared" si="50"/>
        <v>0.05</v>
      </c>
      <c r="Y115" s="223">
        <f>+M115/F115</f>
        <v>0.3</v>
      </c>
      <c r="Z115" s="266">
        <f t="shared" si="51"/>
        <v>0.8</v>
      </c>
      <c r="AA115" s="266">
        <f>+Y115*E115</f>
        <v>1.4999999999999999E-2</v>
      </c>
      <c r="AB115" s="266">
        <f t="shared" si="52"/>
        <v>4.0000000000000008E-2</v>
      </c>
      <c r="AC115" s="725" t="s">
        <v>1852</v>
      </c>
      <c r="AD115" s="642" t="s">
        <v>1895</v>
      </c>
      <c r="AE115" s="642" t="s">
        <v>2276</v>
      </c>
      <c r="AF115" s="642" t="s">
        <v>2296</v>
      </c>
      <c r="AG115" s="642" t="s">
        <v>2413</v>
      </c>
      <c r="AH115" s="642" t="s">
        <v>2448</v>
      </c>
      <c r="AI115" s="637" t="s">
        <v>2567</v>
      </c>
    </row>
    <row r="116" spans="1:35" ht="64.95" customHeight="1" thickBot="1" x14ac:dyDescent="0.4">
      <c r="A116" s="184"/>
      <c r="B116" s="1001" t="s">
        <v>901</v>
      </c>
      <c r="C116" s="1011" t="s">
        <v>1343</v>
      </c>
      <c r="D116" s="267" t="s">
        <v>48</v>
      </c>
      <c r="E116" s="264">
        <v>0.1</v>
      </c>
      <c r="F116" s="262">
        <v>18</v>
      </c>
      <c r="G116" s="199">
        <v>7</v>
      </c>
      <c r="H116" s="199">
        <v>4</v>
      </c>
      <c r="I116" s="205">
        <f>+G116/F116</f>
        <v>0.3888888888888889</v>
      </c>
      <c r="J116" s="205">
        <f t="shared" si="44"/>
        <v>0.22222222222222221</v>
      </c>
      <c r="K116" s="205">
        <f t="shared" si="48"/>
        <v>3.888888888888889E-2</v>
      </c>
      <c r="L116" s="205">
        <f t="shared" si="45"/>
        <v>2.2222222222222223E-2</v>
      </c>
      <c r="M116" s="199">
        <v>7</v>
      </c>
      <c r="N116" s="608">
        <v>3</v>
      </c>
      <c r="O116" s="608">
        <v>1</v>
      </c>
      <c r="P116" s="608">
        <v>2</v>
      </c>
      <c r="Q116" s="608">
        <v>1</v>
      </c>
      <c r="R116" s="608"/>
      <c r="S116" s="199">
        <f t="shared" si="46"/>
        <v>7</v>
      </c>
      <c r="T116" s="199">
        <f t="shared" si="49"/>
        <v>14</v>
      </c>
      <c r="U116" s="223">
        <f>+(M116/G116)</f>
        <v>1</v>
      </c>
      <c r="V116" s="223">
        <v>1</v>
      </c>
      <c r="W116" s="223">
        <f>+U116*E116</f>
        <v>0.1</v>
      </c>
      <c r="X116" s="223">
        <f t="shared" si="50"/>
        <v>0.1</v>
      </c>
      <c r="Y116" s="223">
        <f>+M116/F116</f>
        <v>0.3888888888888889</v>
      </c>
      <c r="Z116" s="266">
        <f t="shared" si="51"/>
        <v>0.77777777777777779</v>
      </c>
      <c r="AA116" s="266">
        <f>+Y116*E116</f>
        <v>3.888888888888889E-2</v>
      </c>
      <c r="AB116" s="266">
        <f t="shared" si="52"/>
        <v>7.7777777777777779E-2</v>
      </c>
      <c r="AC116" s="725" t="s">
        <v>1852</v>
      </c>
      <c r="AD116" s="642" t="s">
        <v>1897</v>
      </c>
      <c r="AE116" s="642" t="s">
        <v>2276</v>
      </c>
      <c r="AF116" s="642" t="s">
        <v>2296</v>
      </c>
      <c r="AG116" s="642" t="s">
        <v>2413</v>
      </c>
      <c r="AH116" s="932" t="s">
        <v>2448</v>
      </c>
      <c r="AI116" s="637" t="s">
        <v>2567</v>
      </c>
    </row>
    <row r="117" spans="1:35" ht="156.6" customHeight="1" thickBot="1" x14ac:dyDescent="0.4">
      <c r="A117" s="184"/>
      <c r="B117" s="1001" t="s">
        <v>902</v>
      </c>
      <c r="C117" s="1011" t="s">
        <v>1344</v>
      </c>
      <c r="D117" s="267" t="s">
        <v>1542</v>
      </c>
      <c r="E117" s="264">
        <v>0.05</v>
      </c>
      <c r="F117" s="262">
        <v>20</v>
      </c>
      <c r="G117" s="199">
        <v>0</v>
      </c>
      <c r="H117" s="199">
        <v>5.25</v>
      </c>
      <c r="I117" s="205"/>
      <c r="J117" s="205">
        <f t="shared" si="44"/>
        <v>0.26250000000000001</v>
      </c>
      <c r="K117" s="205"/>
      <c r="L117" s="205">
        <f t="shared" si="45"/>
        <v>1.3125000000000001E-2</v>
      </c>
      <c r="M117" s="199"/>
      <c r="N117" s="608">
        <v>0.1</v>
      </c>
      <c r="O117" s="608">
        <v>0.15</v>
      </c>
      <c r="P117" s="608">
        <v>0</v>
      </c>
      <c r="Q117" s="608">
        <v>1.5</v>
      </c>
      <c r="R117" s="608">
        <v>0</v>
      </c>
      <c r="S117" s="199">
        <f t="shared" si="46"/>
        <v>1.75</v>
      </c>
      <c r="T117" s="199">
        <f t="shared" si="49"/>
        <v>1.75</v>
      </c>
      <c r="U117" s="223"/>
      <c r="V117" s="223">
        <f>+S117/H117</f>
        <v>0.33333333333333331</v>
      </c>
      <c r="W117" s="223"/>
      <c r="X117" s="223">
        <f t="shared" si="50"/>
        <v>1.6666666666666666E-2</v>
      </c>
      <c r="Y117" s="223"/>
      <c r="Z117" s="266">
        <f t="shared" si="51"/>
        <v>8.7499999999999994E-2</v>
      </c>
      <c r="AA117" s="266">
        <v>0</v>
      </c>
      <c r="AB117" s="266">
        <f t="shared" si="52"/>
        <v>4.3749999999999995E-3</v>
      </c>
      <c r="AC117" s="725" t="s">
        <v>1857</v>
      </c>
      <c r="AD117" s="644" t="s">
        <v>1901</v>
      </c>
      <c r="AE117" s="642" t="s">
        <v>2282</v>
      </c>
      <c r="AF117" s="642" t="s">
        <v>2302</v>
      </c>
      <c r="AG117" s="765" t="s">
        <v>2460</v>
      </c>
      <c r="AH117" s="642" t="s">
        <v>2448</v>
      </c>
      <c r="AI117" s="637" t="s">
        <v>2567</v>
      </c>
    </row>
    <row r="118" spans="1:35" ht="67.2" customHeight="1" thickBot="1" x14ac:dyDescent="0.4">
      <c r="A118" s="184"/>
      <c r="B118" s="1001" t="s">
        <v>903</v>
      </c>
      <c r="C118" s="1011" t="s">
        <v>1345</v>
      </c>
      <c r="D118" s="267" t="s">
        <v>48</v>
      </c>
      <c r="E118" s="264">
        <v>0.1</v>
      </c>
      <c r="F118" s="262">
        <v>119</v>
      </c>
      <c r="G118" s="199">
        <v>57</v>
      </c>
      <c r="H118" s="199">
        <v>62</v>
      </c>
      <c r="I118" s="205">
        <f t="shared" si="47"/>
        <v>0.47899159663865548</v>
      </c>
      <c r="J118" s="205">
        <f t="shared" si="44"/>
        <v>0.52100840336134457</v>
      </c>
      <c r="K118" s="205">
        <f t="shared" si="48"/>
        <v>4.789915966386555E-2</v>
      </c>
      <c r="L118" s="205">
        <f t="shared" si="45"/>
        <v>5.2100840336134463E-2</v>
      </c>
      <c r="M118" s="199">
        <v>57</v>
      </c>
      <c r="N118" s="608">
        <v>0</v>
      </c>
      <c r="O118" s="608">
        <v>0</v>
      </c>
      <c r="P118" s="608">
        <v>0</v>
      </c>
      <c r="Q118" s="608">
        <v>0</v>
      </c>
      <c r="R118" s="608">
        <v>62</v>
      </c>
      <c r="S118" s="199">
        <f t="shared" si="46"/>
        <v>62</v>
      </c>
      <c r="T118" s="199">
        <f t="shared" si="49"/>
        <v>119</v>
      </c>
      <c r="U118" s="223">
        <f>+(M118/G118)</f>
        <v>1</v>
      </c>
      <c r="V118" s="223">
        <f>+S118/H118</f>
        <v>1</v>
      </c>
      <c r="W118" s="223">
        <f>+U118*E118</f>
        <v>0.1</v>
      </c>
      <c r="X118" s="223">
        <f t="shared" si="50"/>
        <v>0.1</v>
      </c>
      <c r="Y118" s="223">
        <f>+M118/F118</f>
        <v>0.47899159663865548</v>
      </c>
      <c r="Z118" s="266">
        <f t="shared" si="51"/>
        <v>1</v>
      </c>
      <c r="AA118" s="266">
        <f>+Y118*E118</f>
        <v>4.789915966386555E-2</v>
      </c>
      <c r="AB118" s="266">
        <f t="shared" si="52"/>
        <v>0.1</v>
      </c>
      <c r="AC118" s="725" t="s">
        <v>1852</v>
      </c>
      <c r="AD118" s="642" t="s">
        <v>1893</v>
      </c>
      <c r="AE118" s="642" t="s">
        <v>2276</v>
      </c>
      <c r="AF118" s="642" t="s">
        <v>2296</v>
      </c>
      <c r="AG118" s="642" t="s">
        <v>2413</v>
      </c>
      <c r="AH118" s="642" t="s">
        <v>2448</v>
      </c>
      <c r="AI118" s="637" t="s">
        <v>2567</v>
      </c>
    </row>
    <row r="119" spans="1:35" ht="121.2" customHeight="1" thickBot="1" x14ac:dyDescent="0.4">
      <c r="A119" s="184"/>
      <c r="B119" s="1001" t="s">
        <v>904</v>
      </c>
      <c r="C119" s="1011" t="s">
        <v>1346</v>
      </c>
      <c r="D119" s="267" t="s">
        <v>48</v>
      </c>
      <c r="E119" s="264">
        <v>0.1</v>
      </c>
      <c r="F119" s="262">
        <v>60</v>
      </c>
      <c r="G119" s="199">
        <v>0</v>
      </c>
      <c r="H119" s="199">
        <v>60</v>
      </c>
      <c r="I119" s="205"/>
      <c r="J119" s="205">
        <f t="shared" si="44"/>
        <v>1</v>
      </c>
      <c r="K119" s="205"/>
      <c r="L119" s="205">
        <f t="shared" si="45"/>
        <v>0.1</v>
      </c>
      <c r="M119" s="199"/>
      <c r="N119" s="608">
        <v>0</v>
      </c>
      <c r="O119" s="608">
        <v>0</v>
      </c>
      <c r="P119" s="608">
        <v>0</v>
      </c>
      <c r="Q119" s="608">
        <v>0</v>
      </c>
      <c r="R119" s="608">
        <v>60</v>
      </c>
      <c r="S119" s="199">
        <f t="shared" si="46"/>
        <v>60</v>
      </c>
      <c r="T119" s="199">
        <f t="shared" si="49"/>
        <v>60</v>
      </c>
      <c r="U119" s="223"/>
      <c r="V119" s="223">
        <f>+S119/H119</f>
        <v>1</v>
      </c>
      <c r="W119" s="223"/>
      <c r="X119" s="223">
        <f t="shared" si="50"/>
        <v>0.1</v>
      </c>
      <c r="Y119" s="223"/>
      <c r="Z119" s="266">
        <f t="shared" si="51"/>
        <v>1</v>
      </c>
      <c r="AA119" s="266">
        <f>+Y119*E119</f>
        <v>0</v>
      </c>
      <c r="AB119" s="266">
        <f t="shared" si="52"/>
        <v>0.1</v>
      </c>
      <c r="AC119" s="725" t="s">
        <v>1858</v>
      </c>
      <c r="AD119" s="719" t="s">
        <v>1920</v>
      </c>
      <c r="AE119" s="753" t="s">
        <v>2276</v>
      </c>
      <c r="AF119" s="642" t="s">
        <v>2296</v>
      </c>
      <c r="AG119" s="642" t="s">
        <v>2413</v>
      </c>
      <c r="AH119" s="642" t="s">
        <v>2448</v>
      </c>
      <c r="AI119" s="637" t="s">
        <v>2567</v>
      </c>
    </row>
    <row r="120" spans="1:35" ht="73.2" customHeight="1" thickBot="1" x14ac:dyDescent="0.4">
      <c r="A120" s="184"/>
      <c r="B120" s="1001" t="s">
        <v>905</v>
      </c>
      <c r="C120" s="1011" t="s">
        <v>1347</v>
      </c>
      <c r="D120" s="267" t="s">
        <v>48</v>
      </c>
      <c r="E120" s="264">
        <v>0.05</v>
      </c>
      <c r="F120" s="262">
        <v>1</v>
      </c>
      <c r="G120" s="199">
        <v>0.5</v>
      </c>
      <c r="H120" s="199">
        <v>0.5</v>
      </c>
      <c r="I120" s="205">
        <f t="shared" si="47"/>
        <v>0.5</v>
      </c>
      <c r="J120" s="205">
        <f t="shared" si="44"/>
        <v>0.5</v>
      </c>
      <c r="K120" s="205">
        <f t="shared" si="48"/>
        <v>2.5000000000000001E-2</v>
      </c>
      <c r="L120" s="205">
        <f t="shared" si="45"/>
        <v>2.5000000000000001E-2</v>
      </c>
      <c r="M120" s="199">
        <v>0.5</v>
      </c>
      <c r="N120" s="608">
        <v>0</v>
      </c>
      <c r="O120" s="608">
        <v>0.3</v>
      </c>
      <c r="P120" s="608">
        <v>0</v>
      </c>
      <c r="Q120" s="608">
        <v>0</v>
      </c>
      <c r="R120" s="608">
        <v>0</v>
      </c>
      <c r="S120" s="199">
        <f t="shared" si="46"/>
        <v>0.3</v>
      </c>
      <c r="T120" s="199">
        <f t="shared" si="49"/>
        <v>0.8</v>
      </c>
      <c r="U120" s="223">
        <f>+(M120/G120)</f>
        <v>1</v>
      </c>
      <c r="V120" s="223">
        <f>+S120/H120</f>
        <v>0.6</v>
      </c>
      <c r="W120" s="223">
        <f>+U120*E120</f>
        <v>0.05</v>
      </c>
      <c r="X120" s="223">
        <f t="shared" si="50"/>
        <v>0.03</v>
      </c>
      <c r="Y120" s="223">
        <f>+M120/F120</f>
        <v>0.5</v>
      </c>
      <c r="Z120" s="266">
        <f>+T120/F120</f>
        <v>0.8</v>
      </c>
      <c r="AA120" s="266">
        <f>+Y120*E120</f>
        <v>2.5000000000000001E-2</v>
      </c>
      <c r="AB120" s="266">
        <f t="shared" si="52"/>
        <v>4.0000000000000008E-2</v>
      </c>
      <c r="AC120" s="725" t="s">
        <v>1852</v>
      </c>
      <c r="AD120" s="642" t="s">
        <v>1897</v>
      </c>
      <c r="AE120" s="642" t="s">
        <v>2276</v>
      </c>
      <c r="AF120" s="642" t="s">
        <v>2296</v>
      </c>
      <c r="AG120" s="642" t="s">
        <v>2413</v>
      </c>
      <c r="AH120" s="642" t="s">
        <v>2448</v>
      </c>
      <c r="AI120" s="637" t="s">
        <v>2567</v>
      </c>
    </row>
    <row r="121" spans="1:35" ht="57" customHeight="1" thickBot="1" x14ac:dyDescent="0.4">
      <c r="A121" s="184"/>
      <c r="B121" s="1319" t="s">
        <v>1745</v>
      </c>
      <c r="C121" s="1333"/>
      <c r="D121" s="267"/>
      <c r="E121" s="268">
        <v>0.2</v>
      </c>
      <c r="F121" s="262"/>
      <c r="G121" s="192"/>
      <c r="H121" s="192"/>
      <c r="I121" s="198">
        <f>+AVERAGE(I122:I134)</f>
        <v>0.54700386369463794</v>
      </c>
      <c r="J121" s="198">
        <f>+AVERAGE(J122:J134)</f>
        <v>0.43195311912999895</v>
      </c>
      <c r="K121" s="198">
        <f>+K122+K123+K124+K125+K126+K127+K128+K129+K130+K131+K132+K133+K134</f>
        <v>0.30325135229312328</v>
      </c>
      <c r="L121" s="198">
        <f>+L122+L123+L124+L125+L126+L127+L128+L129+L130+L131+L132+L133+L134</f>
        <v>0.39777655956499952</v>
      </c>
      <c r="M121" s="197"/>
      <c r="N121" s="197"/>
      <c r="O121" s="197"/>
      <c r="P121" s="197"/>
      <c r="Q121" s="197"/>
      <c r="R121" s="1218"/>
      <c r="S121" s="199"/>
      <c r="T121" s="938"/>
      <c r="U121" s="221">
        <f>+AVERAGE(U122:U134)</f>
        <v>0.97282973157946084</v>
      </c>
      <c r="V121" s="221">
        <f>+AVERAGE(V122:V134)</f>
        <v>0.69062464205106044</v>
      </c>
      <c r="W121" s="221">
        <f>+(W122+W123+W124+W125+W126+W127+W128+W129+W130+W131+W132+W133+W134)*E121</f>
        <v>0.10009808121056228</v>
      </c>
      <c r="X121" s="221">
        <f>+(X122+X123+X124+X125+X126+X127+X128+X129+X130+X131+X132+X133+X134)*E121</f>
        <v>6.5049971364084844E-2</v>
      </c>
      <c r="Y121" s="198">
        <f>+AVERAGE(Y122:Y134)</f>
        <v>0.59622372041307181</v>
      </c>
      <c r="Z121" s="198">
        <f>+AVERAGE(Z122:Z134)</f>
        <v>0.68896444990423822</v>
      </c>
      <c r="AA121" s="258">
        <f>+(AA122+AA123+AA124+AA125+AA126+AA127+AA128+AA129+AA130+AA131+AA132+AA133+AA134)*E121</f>
        <v>6.2055660428915041E-2</v>
      </c>
      <c r="AB121" s="258">
        <f>+(AB122+AB123+AB124+AB125+AB126+AB127+AB128+AB129+AB130+AB131+AB132+AB133+AB134)</f>
        <v>0.57233044744733119</v>
      </c>
      <c r="AC121" s="1106"/>
      <c r="AD121" s="602"/>
      <c r="AE121" s="602"/>
      <c r="AF121" s="602"/>
      <c r="AG121" s="602"/>
      <c r="AH121" s="602"/>
    </row>
    <row r="122" spans="1:35" ht="42.6" customHeight="1" thickBot="1" x14ac:dyDescent="0.4">
      <c r="A122" s="184"/>
      <c r="B122" s="1001" t="s">
        <v>906</v>
      </c>
      <c r="C122" s="1011" t="s">
        <v>1348</v>
      </c>
      <c r="D122" s="260" t="s">
        <v>907</v>
      </c>
      <c r="E122" s="264">
        <v>0.2</v>
      </c>
      <c r="F122" s="262">
        <v>18</v>
      </c>
      <c r="G122" s="199">
        <v>18</v>
      </c>
      <c r="H122" s="199"/>
      <c r="I122" s="205">
        <f t="shared" ref="I122:I134" si="53">+G122/F122</f>
        <v>1</v>
      </c>
      <c r="J122" s="205"/>
      <c r="K122" s="205">
        <f t="shared" ref="K122:K134" si="54">+(G122/F122)*E122</f>
        <v>0.2</v>
      </c>
      <c r="L122" s="205"/>
      <c r="M122" s="199">
        <v>18</v>
      </c>
      <c r="N122" s="608"/>
      <c r="O122" s="608"/>
      <c r="P122" s="608"/>
      <c r="Q122" s="608"/>
      <c r="R122" s="608"/>
      <c r="S122" s="199">
        <f t="shared" si="46"/>
        <v>0</v>
      </c>
      <c r="T122" s="199">
        <f t="shared" ref="T122:T133" si="55">+S122+M122</f>
        <v>18</v>
      </c>
      <c r="U122" s="223">
        <f>+(M122/G122)</f>
        <v>1</v>
      </c>
      <c r="V122" s="223"/>
      <c r="W122" s="223">
        <f>+U122*E122</f>
        <v>0.2</v>
      </c>
      <c r="X122" s="223"/>
      <c r="Y122" s="223">
        <f>+M122/F122</f>
        <v>1</v>
      </c>
      <c r="Z122" s="266">
        <f>+T122/F122</f>
        <v>1</v>
      </c>
      <c r="AA122" s="266">
        <f>+Y122*E122</f>
        <v>0.2</v>
      </c>
      <c r="AB122" s="266">
        <f t="shared" ref="AB122:AB134" si="56">+Z122*E122</f>
        <v>0.2</v>
      </c>
      <c r="AC122" s="932" t="s">
        <v>1589</v>
      </c>
      <c r="AD122" s="602"/>
      <c r="AE122" s="602"/>
      <c r="AF122" s="642" t="s">
        <v>2296</v>
      </c>
      <c r="AG122" s="642" t="s">
        <v>2413</v>
      </c>
      <c r="AH122" s="642" t="s">
        <v>2448</v>
      </c>
      <c r="AI122" s="642" t="s">
        <v>2567</v>
      </c>
    </row>
    <row r="123" spans="1:35" ht="51.6" customHeight="1" thickBot="1" x14ac:dyDescent="0.4">
      <c r="A123" s="184"/>
      <c r="B123" s="1012" t="s">
        <v>908</v>
      </c>
      <c r="C123" s="1013" t="s">
        <v>1349</v>
      </c>
      <c r="D123" s="260" t="s">
        <v>907</v>
      </c>
      <c r="E123" s="264">
        <v>0.2</v>
      </c>
      <c r="F123" s="262">
        <v>1</v>
      </c>
      <c r="G123" s="199">
        <v>0</v>
      </c>
      <c r="H123" s="199">
        <v>1</v>
      </c>
      <c r="I123" s="205"/>
      <c r="J123" s="205">
        <f t="shared" si="44"/>
        <v>1</v>
      </c>
      <c r="K123" s="205"/>
      <c r="L123" s="205">
        <f t="shared" si="45"/>
        <v>0.2</v>
      </c>
      <c r="M123" s="199"/>
      <c r="N123" s="608">
        <v>0.8</v>
      </c>
      <c r="O123" s="608">
        <v>0.2</v>
      </c>
      <c r="P123" s="608">
        <v>0</v>
      </c>
      <c r="Q123" s="608"/>
      <c r="R123" s="608"/>
      <c r="S123" s="235">
        <f t="shared" si="46"/>
        <v>1</v>
      </c>
      <c r="T123" s="235">
        <f t="shared" si="55"/>
        <v>1</v>
      </c>
      <c r="U123" s="223"/>
      <c r="V123" s="223">
        <f>+S123/H123</f>
        <v>1</v>
      </c>
      <c r="W123" s="223"/>
      <c r="X123" s="223">
        <f>+V123*E123</f>
        <v>0.2</v>
      </c>
      <c r="Y123" s="223"/>
      <c r="Z123" s="266">
        <f>+T123/F123</f>
        <v>1</v>
      </c>
      <c r="AA123" s="266"/>
      <c r="AB123" s="266">
        <f t="shared" si="56"/>
        <v>0.2</v>
      </c>
      <c r="AC123" s="932" t="s">
        <v>1589</v>
      </c>
      <c r="AD123" s="642" t="s">
        <v>1897</v>
      </c>
      <c r="AE123" s="642" t="s">
        <v>2276</v>
      </c>
      <c r="AF123" s="642" t="s">
        <v>2296</v>
      </c>
      <c r="AG123" s="642" t="s">
        <v>2413</v>
      </c>
      <c r="AH123" s="642" t="s">
        <v>2448</v>
      </c>
      <c r="AI123" s="642" t="s">
        <v>2567</v>
      </c>
    </row>
    <row r="124" spans="1:35" ht="108.6" customHeight="1" thickBot="1" x14ac:dyDescent="0.4">
      <c r="A124" s="184"/>
      <c r="B124" s="210" t="s">
        <v>909</v>
      </c>
      <c r="C124" s="271" t="s">
        <v>1350</v>
      </c>
      <c r="D124" s="260" t="s">
        <v>907</v>
      </c>
      <c r="E124" s="264">
        <v>0.1</v>
      </c>
      <c r="F124" s="262">
        <v>1</v>
      </c>
      <c r="G124" s="199">
        <v>0</v>
      </c>
      <c r="H124" s="199">
        <v>1</v>
      </c>
      <c r="I124" s="205"/>
      <c r="J124" s="205">
        <f t="shared" si="44"/>
        <v>1</v>
      </c>
      <c r="K124" s="205"/>
      <c r="L124" s="205">
        <f t="shared" si="45"/>
        <v>0.1</v>
      </c>
      <c r="M124" s="199"/>
      <c r="N124" s="608">
        <v>0</v>
      </c>
      <c r="O124" s="608">
        <v>0</v>
      </c>
      <c r="P124" s="608">
        <v>0</v>
      </c>
      <c r="Q124" s="608">
        <v>0</v>
      </c>
      <c r="R124" s="272"/>
      <c r="S124" s="199">
        <f t="shared" si="46"/>
        <v>0</v>
      </c>
      <c r="T124" s="199">
        <f t="shared" si="55"/>
        <v>0</v>
      </c>
      <c r="U124" s="223"/>
      <c r="V124" s="223">
        <f>+S124/H124</f>
        <v>0</v>
      </c>
      <c r="W124" s="223"/>
      <c r="X124" s="223">
        <f>+V124*E124</f>
        <v>0</v>
      </c>
      <c r="Y124" s="223"/>
      <c r="Z124" s="266">
        <v>0</v>
      </c>
      <c r="AA124" s="266"/>
      <c r="AB124" s="266">
        <f t="shared" si="56"/>
        <v>0</v>
      </c>
      <c r="AC124" s="725" t="s">
        <v>1852</v>
      </c>
      <c r="AD124" s="719" t="s">
        <v>1920</v>
      </c>
      <c r="AE124" s="642" t="s">
        <v>2276</v>
      </c>
      <c r="AF124" s="642" t="s">
        <v>2296</v>
      </c>
      <c r="AG124" s="642" t="s">
        <v>2413</v>
      </c>
      <c r="AH124" s="642" t="s">
        <v>2448</v>
      </c>
      <c r="AI124" s="719" t="s">
        <v>2312</v>
      </c>
    </row>
    <row r="125" spans="1:35" ht="78.599999999999994" customHeight="1" thickBot="1" x14ac:dyDescent="0.4">
      <c r="A125" s="184"/>
      <c r="B125" s="1032" t="s">
        <v>910</v>
      </c>
      <c r="C125" s="1241" t="s">
        <v>1351</v>
      </c>
      <c r="D125" s="260" t="s">
        <v>907</v>
      </c>
      <c r="E125" s="264">
        <v>0.03</v>
      </c>
      <c r="F125" s="262">
        <v>1</v>
      </c>
      <c r="G125" s="199">
        <v>1</v>
      </c>
      <c r="H125" s="199">
        <v>0</v>
      </c>
      <c r="I125" s="205">
        <f t="shared" si="53"/>
        <v>1</v>
      </c>
      <c r="J125" s="205"/>
      <c r="K125" s="205">
        <f t="shared" si="54"/>
        <v>0.03</v>
      </c>
      <c r="L125" s="205"/>
      <c r="M125" s="199">
        <v>1</v>
      </c>
      <c r="N125" s="608"/>
      <c r="O125" s="608"/>
      <c r="P125" s="608"/>
      <c r="Q125" s="608"/>
      <c r="R125" s="608"/>
      <c r="S125" s="199">
        <f t="shared" si="46"/>
        <v>0</v>
      </c>
      <c r="T125" s="199">
        <f t="shared" si="55"/>
        <v>1</v>
      </c>
      <c r="U125" s="223">
        <f>+(M125/G125)</f>
        <v>1</v>
      </c>
      <c r="V125" s="223"/>
      <c r="W125" s="223">
        <f>+U125*E125</f>
        <v>0.03</v>
      </c>
      <c r="X125" s="223"/>
      <c r="Y125" s="223">
        <f>+M125/F125</f>
        <v>1</v>
      </c>
      <c r="Z125" s="266">
        <f>+T125/F125</f>
        <v>1</v>
      </c>
      <c r="AA125" s="266">
        <f>+Y125*E125</f>
        <v>0.03</v>
      </c>
      <c r="AB125" s="266">
        <f t="shared" si="56"/>
        <v>0.03</v>
      </c>
      <c r="AC125" s="932" t="s">
        <v>1589</v>
      </c>
      <c r="AD125" s="719" t="s">
        <v>1975</v>
      </c>
      <c r="AE125" s="642" t="s">
        <v>2276</v>
      </c>
      <c r="AF125" s="719" t="s">
        <v>2313</v>
      </c>
      <c r="AG125" s="642" t="s">
        <v>2413</v>
      </c>
      <c r="AH125" s="642" t="s">
        <v>2448</v>
      </c>
      <c r="AI125" s="719" t="s">
        <v>2312</v>
      </c>
    </row>
    <row r="126" spans="1:35" ht="61.8" customHeight="1" thickBot="1" x14ac:dyDescent="0.4">
      <c r="A126" s="184"/>
      <c r="B126" s="930" t="s">
        <v>911</v>
      </c>
      <c r="C126" s="931" t="s">
        <v>1352</v>
      </c>
      <c r="D126" s="260" t="s">
        <v>907</v>
      </c>
      <c r="E126" s="264">
        <v>0.1</v>
      </c>
      <c r="F126" s="262">
        <v>482</v>
      </c>
      <c r="G126" s="199">
        <v>0</v>
      </c>
      <c r="H126" s="199">
        <v>0</v>
      </c>
      <c r="I126" s="205"/>
      <c r="J126" s="205">
        <f t="shared" si="44"/>
        <v>0</v>
      </c>
      <c r="K126" s="205"/>
      <c r="L126" s="205">
        <f t="shared" si="45"/>
        <v>0</v>
      </c>
      <c r="M126" s="199"/>
      <c r="N126" s="608"/>
      <c r="O126" s="199"/>
      <c r="P126" s="199"/>
      <c r="Q126" s="199"/>
      <c r="R126" s="272"/>
      <c r="S126" s="199">
        <f t="shared" si="46"/>
        <v>0</v>
      </c>
      <c r="T126" s="199">
        <f t="shared" si="55"/>
        <v>0</v>
      </c>
      <c r="U126" s="223"/>
      <c r="V126" s="223"/>
      <c r="W126" s="223"/>
      <c r="X126" s="223"/>
      <c r="Y126" s="223"/>
      <c r="Z126" s="266"/>
      <c r="AA126" s="266"/>
      <c r="AB126" s="266">
        <f t="shared" si="56"/>
        <v>0</v>
      </c>
      <c r="AC126" s="725" t="s">
        <v>1852</v>
      </c>
      <c r="AD126" s="719" t="s">
        <v>1977</v>
      </c>
      <c r="AE126" s="602"/>
      <c r="AF126" s="719" t="s">
        <v>2312</v>
      </c>
      <c r="AG126" s="642" t="s">
        <v>2413</v>
      </c>
      <c r="AH126" s="719" t="s">
        <v>2312</v>
      </c>
      <c r="AI126" s="719" t="s">
        <v>2312</v>
      </c>
    </row>
    <row r="127" spans="1:35" ht="68.400000000000006" customHeight="1" thickBot="1" x14ac:dyDescent="0.4">
      <c r="A127" s="184"/>
      <c r="B127" s="1012" t="s">
        <v>912</v>
      </c>
      <c r="C127" s="1013" t="s">
        <v>1353</v>
      </c>
      <c r="D127" s="260" t="s">
        <v>907</v>
      </c>
      <c r="E127" s="264">
        <v>0.03</v>
      </c>
      <c r="F127" s="262">
        <v>1</v>
      </c>
      <c r="G127" s="199">
        <v>0.15</v>
      </c>
      <c r="H127" s="199">
        <v>0.2</v>
      </c>
      <c r="I127" s="205">
        <f t="shared" si="53"/>
        <v>0.15</v>
      </c>
      <c r="J127" s="205">
        <f t="shared" si="44"/>
        <v>0.2</v>
      </c>
      <c r="K127" s="205">
        <f t="shared" si="54"/>
        <v>4.4999999999999997E-3</v>
      </c>
      <c r="L127" s="205">
        <f t="shared" si="45"/>
        <v>6.0000000000000001E-3</v>
      </c>
      <c r="M127" s="199">
        <v>0.3</v>
      </c>
      <c r="N127" s="608">
        <v>0.2</v>
      </c>
      <c r="O127" s="608">
        <v>0.1</v>
      </c>
      <c r="P127" s="608">
        <v>0.5</v>
      </c>
      <c r="Q127" s="608">
        <v>0.5</v>
      </c>
      <c r="R127" s="608"/>
      <c r="S127" s="199">
        <f t="shared" si="46"/>
        <v>1.3</v>
      </c>
      <c r="T127" s="199">
        <f t="shared" si="55"/>
        <v>1.6</v>
      </c>
      <c r="U127" s="223">
        <v>1</v>
      </c>
      <c r="V127" s="223">
        <v>1</v>
      </c>
      <c r="W127" s="223">
        <f>+U127*E127</f>
        <v>0.03</v>
      </c>
      <c r="X127" s="223">
        <f>+V127*E127</f>
        <v>0.03</v>
      </c>
      <c r="Y127" s="223">
        <f>+M127/F127</f>
        <v>0.3</v>
      </c>
      <c r="Z127" s="266">
        <v>1</v>
      </c>
      <c r="AA127" s="266">
        <f>+Y127*E127</f>
        <v>8.9999999999999993E-3</v>
      </c>
      <c r="AB127" s="266">
        <f t="shared" si="56"/>
        <v>0.03</v>
      </c>
      <c r="AC127" s="725" t="s">
        <v>1852</v>
      </c>
      <c r="AD127" s="642" t="s">
        <v>1897</v>
      </c>
      <c r="AE127" s="602"/>
      <c r="AF127" s="642" t="s">
        <v>2296</v>
      </c>
      <c r="AG127" s="642" t="s">
        <v>2413</v>
      </c>
      <c r="AH127" s="642" t="s">
        <v>2448</v>
      </c>
      <c r="AI127" s="642" t="s">
        <v>2567</v>
      </c>
    </row>
    <row r="128" spans="1:35" ht="72" customHeight="1" thickBot="1" x14ac:dyDescent="0.4">
      <c r="A128" s="184"/>
      <c r="B128" s="1032" t="s">
        <v>913</v>
      </c>
      <c r="C128" s="1241" t="s">
        <v>1354</v>
      </c>
      <c r="D128" s="260" t="s">
        <v>907</v>
      </c>
      <c r="E128" s="264">
        <v>0.02</v>
      </c>
      <c r="F128" s="262">
        <v>25</v>
      </c>
      <c r="G128" s="199">
        <v>6</v>
      </c>
      <c r="H128" s="199">
        <v>6</v>
      </c>
      <c r="I128" s="205">
        <f t="shared" si="53"/>
        <v>0.24</v>
      </c>
      <c r="J128" s="205">
        <f t="shared" si="44"/>
        <v>0.24</v>
      </c>
      <c r="K128" s="205">
        <f t="shared" si="54"/>
        <v>4.7999999999999996E-3</v>
      </c>
      <c r="L128" s="205">
        <f t="shared" si="45"/>
        <v>4.7999999999999996E-3</v>
      </c>
      <c r="M128" s="272">
        <v>12</v>
      </c>
      <c r="N128" s="608">
        <v>3</v>
      </c>
      <c r="O128" s="608">
        <v>1</v>
      </c>
      <c r="P128" s="608">
        <v>0</v>
      </c>
      <c r="Q128" s="608">
        <v>1</v>
      </c>
      <c r="R128" s="608">
        <v>1</v>
      </c>
      <c r="S128" s="199">
        <f t="shared" si="46"/>
        <v>6</v>
      </c>
      <c r="T128" s="199">
        <f t="shared" si="55"/>
        <v>18</v>
      </c>
      <c r="U128" s="223">
        <v>1</v>
      </c>
      <c r="V128" s="223">
        <f>+S128/H128</f>
        <v>1</v>
      </c>
      <c r="W128" s="223">
        <f>+U128*E128</f>
        <v>0.02</v>
      </c>
      <c r="X128" s="223">
        <f>+V128*E128</f>
        <v>0.02</v>
      </c>
      <c r="Y128" s="223">
        <f>+M128/F128</f>
        <v>0.48</v>
      </c>
      <c r="Z128" s="266">
        <f>+T128/F128</f>
        <v>0.72</v>
      </c>
      <c r="AA128" s="266">
        <f>+Y128*E128</f>
        <v>9.5999999999999992E-3</v>
      </c>
      <c r="AB128" s="266">
        <f t="shared" si="56"/>
        <v>1.44E-2</v>
      </c>
      <c r="AC128" s="725" t="s">
        <v>1852</v>
      </c>
      <c r="AD128" s="719" t="s">
        <v>1974</v>
      </c>
      <c r="AE128" s="602"/>
      <c r="AF128" s="642" t="s">
        <v>2296</v>
      </c>
      <c r="AG128" s="642" t="s">
        <v>2413</v>
      </c>
      <c r="AH128" s="642" t="s">
        <v>2448</v>
      </c>
      <c r="AI128" s="719" t="s">
        <v>2312</v>
      </c>
    </row>
    <row r="129" spans="1:35" ht="88.2" customHeight="1" thickBot="1" x14ac:dyDescent="0.4">
      <c r="A129" s="184"/>
      <c r="B129" s="1012" t="s">
        <v>914</v>
      </c>
      <c r="C129" s="1013" t="s">
        <v>1355</v>
      </c>
      <c r="D129" s="260" t="s">
        <v>915</v>
      </c>
      <c r="E129" s="264">
        <v>0.02</v>
      </c>
      <c r="F129" s="262">
        <v>3</v>
      </c>
      <c r="G129" s="199">
        <v>0</v>
      </c>
      <c r="H129" s="199">
        <v>1</v>
      </c>
      <c r="I129" s="205"/>
      <c r="J129" s="205">
        <f t="shared" si="44"/>
        <v>0.33333333333333331</v>
      </c>
      <c r="K129" s="205"/>
      <c r="L129" s="205">
        <f t="shared" si="45"/>
        <v>6.6666666666666662E-3</v>
      </c>
      <c r="M129" s="199"/>
      <c r="N129" s="608">
        <v>0.3</v>
      </c>
      <c r="O129" s="608">
        <v>0.4</v>
      </c>
      <c r="P129" s="608">
        <v>0</v>
      </c>
      <c r="Q129" s="608">
        <v>0</v>
      </c>
      <c r="R129" s="608">
        <v>0</v>
      </c>
      <c r="S129" s="199">
        <f t="shared" si="46"/>
        <v>0.7</v>
      </c>
      <c r="T129" s="199">
        <f t="shared" si="55"/>
        <v>0.7</v>
      </c>
      <c r="U129" s="223"/>
      <c r="V129" s="223">
        <f>+S129/H129</f>
        <v>0.7</v>
      </c>
      <c r="W129" s="223"/>
      <c r="X129" s="223">
        <f>+V129*E129</f>
        <v>1.3999999999999999E-2</v>
      </c>
      <c r="Y129" s="223"/>
      <c r="Z129" s="266">
        <f>+T129/F129</f>
        <v>0.23333333333333331</v>
      </c>
      <c r="AA129" s="266"/>
      <c r="AB129" s="266">
        <f t="shared" si="56"/>
        <v>4.6666666666666662E-3</v>
      </c>
      <c r="AC129" s="725" t="s">
        <v>1852</v>
      </c>
      <c r="AD129" s="642" t="s">
        <v>1897</v>
      </c>
      <c r="AE129" s="602"/>
      <c r="AF129" s="642" t="s">
        <v>2296</v>
      </c>
      <c r="AG129" s="642" t="s">
        <v>2413</v>
      </c>
      <c r="AH129" s="719" t="s">
        <v>2312</v>
      </c>
      <c r="AI129" s="642" t="s">
        <v>2567</v>
      </c>
    </row>
    <row r="130" spans="1:35" ht="82.2" customHeight="1" thickBot="1" x14ac:dyDescent="0.4">
      <c r="A130" s="184"/>
      <c r="B130" s="930" t="s">
        <v>916</v>
      </c>
      <c r="C130" s="931" t="s">
        <v>1356</v>
      </c>
      <c r="D130" s="260" t="s">
        <v>917</v>
      </c>
      <c r="E130" s="264">
        <v>0.05</v>
      </c>
      <c r="F130" s="262">
        <v>3</v>
      </c>
      <c r="G130" s="199">
        <v>0</v>
      </c>
      <c r="H130" s="199">
        <v>0</v>
      </c>
      <c r="I130" s="205"/>
      <c r="J130" s="205">
        <f t="shared" si="44"/>
        <v>0</v>
      </c>
      <c r="K130" s="205"/>
      <c r="L130" s="205">
        <f t="shared" si="45"/>
        <v>0</v>
      </c>
      <c r="M130" s="199"/>
      <c r="N130" s="608"/>
      <c r="O130" s="199"/>
      <c r="P130" s="199"/>
      <c r="Q130" s="199"/>
      <c r="R130" s="272"/>
      <c r="S130" s="199">
        <f t="shared" si="46"/>
        <v>0</v>
      </c>
      <c r="T130" s="199">
        <f t="shared" si="55"/>
        <v>0</v>
      </c>
      <c r="U130" s="223"/>
      <c r="V130" s="223"/>
      <c r="W130" s="223"/>
      <c r="X130" s="223"/>
      <c r="Y130" s="223"/>
      <c r="Z130" s="266"/>
      <c r="AA130" s="266"/>
      <c r="AB130" s="266">
        <f t="shared" si="56"/>
        <v>0</v>
      </c>
      <c r="AC130" s="725" t="s">
        <v>1573</v>
      </c>
      <c r="AD130" s="719" t="s">
        <v>1977</v>
      </c>
      <c r="AE130" s="719" t="s">
        <v>2312</v>
      </c>
      <c r="AF130" s="719" t="s">
        <v>2312</v>
      </c>
      <c r="AG130" s="719" t="s">
        <v>2312</v>
      </c>
      <c r="AH130" s="719" t="s">
        <v>2312</v>
      </c>
      <c r="AI130" s="719" t="s">
        <v>2312</v>
      </c>
    </row>
    <row r="131" spans="1:35" ht="84" customHeight="1" thickBot="1" x14ac:dyDescent="0.4">
      <c r="A131" s="184"/>
      <c r="B131" s="1012" t="s">
        <v>918</v>
      </c>
      <c r="C131" s="1013" t="s">
        <v>1357</v>
      </c>
      <c r="D131" s="260" t="s">
        <v>917</v>
      </c>
      <c r="E131" s="264">
        <v>0.16</v>
      </c>
      <c r="F131" s="262">
        <v>10</v>
      </c>
      <c r="G131" s="199">
        <v>2</v>
      </c>
      <c r="H131" s="199">
        <v>3</v>
      </c>
      <c r="I131" s="205">
        <f t="shared" si="53"/>
        <v>0.2</v>
      </c>
      <c r="J131" s="205">
        <f t="shared" si="44"/>
        <v>0.3</v>
      </c>
      <c r="K131" s="205">
        <f t="shared" si="54"/>
        <v>3.2000000000000001E-2</v>
      </c>
      <c r="L131" s="205">
        <f t="shared" si="45"/>
        <v>4.8000000000000001E-2</v>
      </c>
      <c r="M131" s="199">
        <v>2</v>
      </c>
      <c r="N131" s="608">
        <v>0</v>
      </c>
      <c r="O131" s="608">
        <v>0</v>
      </c>
      <c r="P131" s="608">
        <v>0</v>
      </c>
      <c r="Q131" s="608">
        <v>0</v>
      </c>
      <c r="R131" s="272"/>
      <c r="S131" s="199">
        <f t="shared" si="46"/>
        <v>0</v>
      </c>
      <c r="T131" s="199">
        <f t="shared" si="55"/>
        <v>2</v>
      </c>
      <c r="U131" s="223">
        <f>+(M131/G131)</f>
        <v>1</v>
      </c>
      <c r="V131" s="223">
        <f>+S131/H131</f>
        <v>0</v>
      </c>
      <c r="W131" s="223">
        <f>+U131*E131</f>
        <v>0.16</v>
      </c>
      <c r="X131" s="223">
        <f>+V131*E131</f>
        <v>0</v>
      </c>
      <c r="Y131" s="223">
        <f>+M131/F131</f>
        <v>0.2</v>
      </c>
      <c r="Z131" s="266">
        <f>+T131/F131</f>
        <v>0.2</v>
      </c>
      <c r="AA131" s="266">
        <f>+Y131*E131</f>
        <v>3.2000000000000001E-2</v>
      </c>
      <c r="AB131" s="266">
        <f t="shared" si="56"/>
        <v>3.2000000000000001E-2</v>
      </c>
      <c r="AC131" s="725" t="s">
        <v>1852</v>
      </c>
      <c r="AD131" s="642" t="s">
        <v>1897</v>
      </c>
      <c r="AE131" s="642" t="s">
        <v>2276</v>
      </c>
      <c r="AF131" s="642" t="s">
        <v>2296</v>
      </c>
      <c r="AG131" s="642" t="s">
        <v>2413</v>
      </c>
      <c r="AH131" s="642" t="s">
        <v>2448</v>
      </c>
      <c r="AI131" s="642" t="s">
        <v>2567</v>
      </c>
    </row>
    <row r="132" spans="1:35" ht="54" customHeight="1" thickBot="1" x14ac:dyDescent="0.4">
      <c r="A132" s="184"/>
      <c r="B132" s="1012" t="s">
        <v>919</v>
      </c>
      <c r="C132" s="1013" t="s">
        <v>1358</v>
      </c>
      <c r="D132" s="260" t="s">
        <v>907</v>
      </c>
      <c r="E132" s="264">
        <v>0.02</v>
      </c>
      <c r="F132" s="262">
        <v>1</v>
      </c>
      <c r="G132" s="199">
        <v>0</v>
      </c>
      <c r="H132" s="199">
        <v>1</v>
      </c>
      <c r="I132" s="205"/>
      <c r="J132" s="205">
        <f t="shared" si="44"/>
        <v>1</v>
      </c>
      <c r="K132" s="205"/>
      <c r="L132" s="205">
        <f t="shared" si="45"/>
        <v>0.02</v>
      </c>
      <c r="M132" s="199"/>
      <c r="N132" s="608">
        <v>0.8</v>
      </c>
      <c r="O132" s="608">
        <v>0</v>
      </c>
      <c r="P132" s="608">
        <v>0.2</v>
      </c>
      <c r="Q132" s="608">
        <v>0.2</v>
      </c>
      <c r="R132" s="272"/>
      <c r="S132" s="199">
        <f t="shared" si="46"/>
        <v>1.2</v>
      </c>
      <c r="T132" s="199">
        <f t="shared" si="55"/>
        <v>1.2</v>
      </c>
      <c r="U132" s="223"/>
      <c r="V132" s="223">
        <v>1</v>
      </c>
      <c r="W132" s="223"/>
      <c r="X132" s="223">
        <f>+V132*E132</f>
        <v>0.02</v>
      </c>
      <c r="Y132" s="223"/>
      <c r="Z132" s="266">
        <v>1</v>
      </c>
      <c r="AA132" s="266"/>
      <c r="AB132" s="266">
        <f t="shared" si="56"/>
        <v>0.02</v>
      </c>
      <c r="AC132" s="725" t="s">
        <v>1852</v>
      </c>
      <c r="AD132" s="642" t="s">
        <v>1897</v>
      </c>
      <c r="AE132" s="642" t="s">
        <v>2276</v>
      </c>
      <c r="AF132" s="642" t="s">
        <v>2296</v>
      </c>
      <c r="AG132" s="642" t="s">
        <v>2413</v>
      </c>
      <c r="AH132" s="642" t="s">
        <v>2448</v>
      </c>
      <c r="AI132" s="642" t="s">
        <v>2567</v>
      </c>
    </row>
    <row r="133" spans="1:35" ht="90.6" customHeight="1" thickBot="1" x14ac:dyDescent="0.4">
      <c r="A133" s="184"/>
      <c r="B133" s="1012" t="s">
        <v>920</v>
      </c>
      <c r="C133" s="1013" t="s">
        <v>1359</v>
      </c>
      <c r="D133" s="260" t="s">
        <v>907</v>
      </c>
      <c r="E133" s="264">
        <v>0.02</v>
      </c>
      <c r="F133" s="262">
        <v>1</v>
      </c>
      <c r="G133" s="199">
        <v>1</v>
      </c>
      <c r="H133" s="199">
        <v>0</v>
      </c>
      <c r="I133" s="205">
        <f t="shared" si="53"/>
        <v>1</v>
      </c>
      <c r="J133" s="205"/>
      <c r="K133" s="205">
        <f t="shared" si="54"/>
        <v>0.02</v>
      </c>
      <c r="L133" s="205"/>
      <c r="M133" s="199">
        <v>1</v>
      </c>
      <c r="N133" s="608">
        <v>1</v>
      </c>
      <c r="O133" s="608">
        <v>1</v>
      </c>
      <c r="P133" s="608">
        <v>0</v>
      </c>
      <c r="Q133" s="608">
        <v>0</v>
      </c>
      <c r="R133" s="608">
        <v>0</v>
      </c>
      <c r="S133" s="199">
        <f t="shared" si="46"/>
        <v>2</v>
      </c>
      <c r="T133" s="199">
        <f t="shared" si="55"/>
        <v>3</v>
      </c>
      <c r="U133" s="223">
        <f>+(M133/G133)</f>
        <v>1</v>
      </c>
      <c r="V133" s="223"/>
      <c r="W133" s="223">
        <f>+U133*E133</f>
        <v>0.02</v>
      </c>
      <c r="X133" s="223"/>
      <c r="Y133" s="223">
        <f>+M133/F133</f>
        <v>1</v>
      </c>
      <c r="Z133" s="266">
        <v>1</v>
      </c>
      <c r="AA133" s="266">
        <f>+Y133*E133</f>
        <v>0.02</v>
      </c>
      <c r="AB133" s="266">
        <f t="shared" si="56"/>
        <v>0.02</v>
      </c>
      <c r="AC133" s="932" t="s">
        <v>1589</v>
      </c>
      <c r="AD133" s="719" t="s">
        <v>1975</v>
      </c>
      <c r="AE133" s="602"/>
      <c r="AF133" s="642" t="s">
        <v>2296</v>
      </c>
      <c r="AG133" s="642" t="s">
        <v>2413</v>
      </c>
      <c r="AH133" s="642" t="s">
        <v>2448</v>
      </c>
      <c r="AI133" s="642" t="s">
        <v>2567</v>
      </c>
    </row>
    <row r="134" spans="1:35" ht="100.95" customHeight="1" thickBot="1" x14ac:dyDescent="0.4">
      <c r="A134" s="184"/>
      <c r="B134" s="1032" t="s">
        <v>921</v>
      </c>
      <c r="C134" s="1241" t="s">
        <v>1360</v>
      </c>
      <c r="D134" s="273" t="s">
        <v>907</v>
      </c>
      <c r="E134" s="274">
        <v>0.05</v>
      </c>
      <c r="F134" s="262">
        <v>137302998</v>
      </c>
      <c r="G134" s="286">
        <v>32819130</v>
      </c>
      <c r="H134" s="286">
        <v>33803704</v>
      </c>
      <c r="I134" s="205">
        <f t="shared" si="53"/>
        <v>0.23902704586246543</v>
      </c>
      <c r="J134" s="205">
        <f t="shared" si="44"/>
        <v>0.24619785796665561</v>
      </c>
      <c r="K134" s="205">
        <f t="shared" si="54"/>
        <v>1.1951352293123272E-2</v>
      </c>
      <c r="L134" s="205">
        <f t="shared" si="45"/>
        <v>1.2309892898332781E-2</v>
      </c>
      <c r="M134" s="286">
        <v>26577198</v>
      </c>
      <c r="N134" s="611">
        <v>7665351</v>
      </c>
      <c r="O134" s="611">
        <v>7029082</v>
      </c>
      <c r="P134" s="611">
        <v>4761706</v>
      </c>
      <c r="Q134" s="611">
        <v>4215910</v>
      </c>
      <c r="R134" s="1220">
        <v>4215910</v>
      </c>
      <c r="S134" s="286">
        <f>+N134+O134+P134+Q134+R134</f>
        <v>27887959</v>
      </c>
      <c r="T134" s="909">
        <f>+S134+30503658</f>
        <v>58391617</v>
      </c>
      <c r="U134" s="223">
        <f>+(M134/G134)</f>
        <v>0.80980812105622546</v>
      </c>
      <c r="V134" s="223">
        <f>+S134/H134</f>
        <v>0.82499713640848349</v>
      </c>
      <c r="W134" s="223">
        <f>+U134*E134</f>
        <v>4.0490406052811276E-2</v>
      </c>
      <c r="X134" s="223">
        <f>+V134*E134</f>
        <v>4.1249856820424174E-2</v>
      </c>
      <c r="Y134" s="223">
        <f>+M134/F134</f>
        <v>0.19356604289150336</v>
      </c>
      <c r="Z134" s="266">
        <f>+T134/F134</f>
        <v>0.42527561561328764</v>
      </c>
      <c r="AA134" s="266">
        <f>+Y134*E134</f>
        <v>9.6783021445751693E-3</v>
      </c>
      <c r="AB134" s="266">
        <f t="shared" si="56"/>
        <v>2.1263780780664383E-2</v>
      </c>
      <c r="AC134" s="1107" t="s">
        <v>1865</v>
      </c>
      <c r="AD134" s="719" t="s">
        <v>1977</v>
      </c>
      <c r="AE134" s="602"/>
      <c r="AF134" s="719" t="s">
        <v>2314</v>
      </c>
      <c r="AG134" s="719" t="s">
        <v>2312</v>
      </c>
      <c r="AH134" s="719" t="s">
        <v>2312</v>
      </c>
      <c r="AI134" s="719" t="s">
        <v>2312</v>
      </c>
    </row>
    <row r="135" spans="1:35" ht="93" customHeight="1" thickBot="1" x14ac:dyDescent="0.4">
      <c r="A135" s="184"/>
      <c r="B135" s="1323" t="s">
        <v>1815</v>
      </c>
      <c r="C135" s="1333"/>
      <c r="D135" s="267"/>
      <c r="E135" s="270">
        <v>0.1</v>
      </c>
      <c r="F135" s="187">
        <f>+E135*W135</f>
        <v>5.3999446153846158E-2</v>
      </c>
      <c r="G135" s="192"/>
      <c r="H135" s="188">
        <f>+E135*X135</f>
        <v>4.6800579310344828E-2</v>
      </c>
      <c r="I135" s="190">
        <f>+(I136+I140+I144+I150+I159)/4</f>
        <v>0.23930555555555558</v>
      </c>
      <c r="J135" s="190">
        <f>+(J136+J140+J144+J150+J159)/5</f>
        <v>0.19171428571428567</v>
      </c>
      <c r="K135" s="191">
        <f>+(K136+K140+K144+K150+K159)/4</f>
        <v>0.17302083333333335</v>
      </c>
      <c r="L135" s="191">
        <f>+(L136+L140+L144+L150+L159)/5</f>
        <v>0.19663333333333333</v>
      </c>
      <c r="M135" s="192"/>
      <c r="N135" s="192"/>
      <c r="O135" s="192"/>
      <c r="P135" s="192"/>
      <c r="Q135" s="192"/>
      <c r="R135" s="251"/>
      <c r="S135" s="1181"/>
      <c r="T135" s="192"/>
      <c r="U135" s="190">
        <f>+(U136+U140+U144+U150+U159)/4</f>
        <v>0.90415128205128203</v>
      </c>
      <c r="V135" s="190">
        <f>+(V136+V140+V144+V150+V159)/4</f>
        <v>0.73070847701149422</v>
      </c>
      <c r="W135" s="191">
        <f>+W136+W140+W144+W150+W159</f>
        <v>0.53999446153846153</v>
      </c>
      <c r="X135" s="191">
        <f>+X136+X140+X144+X150+X159</f>
        <v>0.46800579310344825</v>
      </c>
      <c r="Y135" s="190">
        <f>(Y136+Y140+Y144+Y150+Y159)/4</f>
        <v>0.22665666666666667</v>
      </c>
      <c r="Z135" s="190">
        <f>(Z136+Z140+Z144+Z150+Z159)/4</f>
        <v>0.51947152777777772</v>
      </c>
      <c r="AA135" s="256">
        <f>+(AA136+AA140+AA144+AA150+AA159)</f>
        <v>0.15220140000000001</v>
      </c>
      <c r="AB135" s="256">
        <f>+(AB136*E136+AB140*E140+AB144*E144+AB150*E150+AB159*E159)</f>
        <v>0.42935424999999999</v>
      </c>
      <c r="AC135" s="1105"/>
      <c r="AD135" s="602"/>
      <c r="AE135" s="602"/>
      <c r="AF135" s="602"/>
      <c r="AG135" s="602"/>
      <c r="AH135" s="602"/>
      <c r="AI135" s="642" t="s">
        <v>2567</v>
      </c>
    </row>
    <row r="136" spans="1:35" ht="42.75" customHeight="1" thickBot="1" x14ac:dyDescent="0.4">
      <c r="A136" s="184"/>
      <c r="B136" s="1319" t="s">
        <v>1816</v>
      </c>
      <c r="C136" s="1333"/>
      <c r="D136" s="267"/>
      <c r="E136" s="268">
        <v>0.2</v>
      </c>
      <c r="F136" s="262"/>
      <c r="G136" s="192"/>
      <c r="H136" s="192"/>
      <c r="I136" s="198">
        <f>+AVERAGE(I137:I139)</f>
        <v>0.125</v>
      </c>
      <c r="J136" s="198">
        <f>+AVERAGE(J137:J139)</f>
        <v>0.25</v>
      </c>
      <c r="K136" s="198">
        <f>+K137+K138+K139</f>
        <v>5.6250000000000001E-2</v>
      </c>
      <c r="L136" s="198">
        <f>+L137+L138+L139</f>
        <v>0.36249999999999999</v>
      </c>
      <c r="M136" s="197"/>
      <c r="N136" s="197"/>
      <c r="O136" s="197"/>
      <c r="P136" s="197"/>
      <c r="Q136" s="197"/>
      <c r="R136" s="1218"/>
      <c r="S136" s="199"/>
      <c r="T136" s="197"/>
      <c r="U136" s="221">
        <f>+AVERAGE(U137:U139)</f>
        <v>1</v>
      </c>
      <c r="V136" s="221">
        <f>+AVERAGE(V137:V139)</f>
        <v>0.17065000000000002</v>
      </c>
      <c r="W136" s="221">
        <f>+(W137+W138+W139)*E136</f>
        <v>9.0000000000000011E-2</v>
      </c>
      <c r="X136" s="221">
        <f>+(X137+X138+X139)*E136</f>
        <v>3.0717000000000008E-2</v>
      </c>
      <c r="Y136" s="198">
        <f>+AVERAGE(Y137:Y139)</f>
        <v>0.185</v>
      </c>
      <c r="Z136" s="198">
        <f>+Y136+((Z137-Y137)/3)</f>
        <v>0.21344166666666667</v>
      </c>
      <c r="AA136" s="258">
        <f>+(AA137+AA138+AA139)*E136</f>
        <v>1.6650000000000002E-2</v>
      </c>
      <c r="AB136" s="258">
        <f>+(AB137+AB138+AB139)</f>
        <v>0.12164625000000003</v>
      </c>
      <c r="AC136" s="1106"/>
      <c r="AD136" s="602"/>
      <c r="AE136" s="602"/>
      <c r="AF136" s="602"/>
      <c r="AG136" s="602"/>
      <c r="AH136" s="602"/>
    </row>
    <row r="137" spans="1:35" ht="74.400000000000006" customHeight="1" thickBot="1" x14ac:dyDescent="0.4">
      <c r="A137" s="184"/>
      <c r="B137" s="1012" t="s">
        <v>922</v>
      </c>
      <c r="C137" s="1013" t="s">
        <v>1361</v>
      </c>
      <c r="D137" s="267" t="s">
        <v>790</v>
      </c>
      <c r="E137" s="264">
        <v>0.45</v>
      </c>
      <c r="F137" s="262">
        <v>40</v>
      </c>
      <c r="G137" s="199">
        <v>5</v>
      </c>
      <c r="H137" s="199">
        <v>10</v>
      </c>
      <c r="I137" s="205">
        <f>+G137/F137</f>
        <v>0.125</v>
      </c>
      <c r="J137" s="205">
        <f t="shared" ref="J137:J139" si="57">+H137/F137</f>
        <v>0.25</v>
      </c>
      <c r="K137" s="205">
        <f>+(G137/F137)*E137</f>
        <v>5.6250000000000001E-2</v>
      </c>
      <c r="L137" s="205">
        <f t="shared" ref="L137:L139" si="58">+(H137/F137)*E137</f>
        <v>0.1125</v>
      </c>
      <c r="M137" s="199">
        <v>7.4</v>
      </c>
      <c r="N137" s="608">
        <v>3.0000000000000001E-3</v>
      </c>
      <c r="O137" s="608">
        <v>2.2000000000000002</v>
      </c>
      <c r="P137" s="608">
        <v>1.1000000000000001</v>
      </c>
      <c r="Q137" s="608">
        <v>0</v>
      </c>
      <c r="R137" s="272">
        <v>0.11</v>
      </c>
      <c r="S137" s="199">
        <f>+N137+O137+P137+Q137+R137</f>
        <v>3.4130000000000003</v>
      </c>
      <c r="T137" s="199">
        <f>+S137+M137</f>
        <v>10.813000000000001</v>
      </c>
      <c r="U137" s="205">
        <v>1</v>
      </c>
      <c r="V137" s="223">
        <f>+S137/H137</f>
        <v>0.34130000000000005</v>
      </c>
      <c r="W137" s="223">
        <f>+U137*E137</f>
        <v>0.45</v>
      </c>
      <c r="X137" s="223">
        <f>+V137*E137</f>
        <v>0.15358500000000003</v>
      </c>
      <c r="Y137" s="223">
        <f>+M137/F137</f>
        <v>0.185</v>
      </c>
      <c r="Z137" s="266">
        <f>+T137/F137</f>
        <v>0.27032500000000004</v>
      </c>
      <c r="AA137" s="266">
        <f>+Y137*E137</f>
        <v>8.3250000000000005E-2</v>
      </c>
      <c r="AB137" s="263">
        <f>+Z137*E137</f>
        <v>0.12164625000000003</v>
      </c>
      <c r="AC137" s="725" t="s">
        <v>1852</v>
      </c>
      <c r="AD137" s="602"/>
      <c r="AE137" s="641" t="s">
        <v>2276</v>
      </c>
      <c r="AF137" s="719" t="s">
        <v>2314</v>
      </c>
      <c r="AG137" s="642" t="s">
        <v>2413</v>
      </c>
      <c r="AH137" s="642" t="s">
        <v>2453</v>
      </c>
      <c r="AI137" s="642" t="s">
        <v>2567</v>
      </c>
    </row>
    <row r="138" spans="1:35" ht="88.2" customHeight="1" thickBot="1" x14ac:dyDescent="0.4">
      <c r="A138" s="184"/>
      <c r="B138" s="1012" t="s">
        <v>923</v>
      </c>
      <c r="C138" s="1013" t="s">
        <v>1362</v>
      </c>
      <c r="D138" s="267" t="s">
        <v>924</v>
      </c>
      <c r="E138" s="264">
        <v>0.5</v>
      </c>
      <c r="F138" s="262">
        <v>140000</v>
      </c>
      <c r="G138" s="199">
        <v>0</v>
      </c>
      <c r="H138" s="199">
        <v>70000</v>
      </c>
      <c r="I138" s="205"/>
      <c r="J138" s="205">
        <f t="shared" si="57"/>
        <v>0.5</v>
      </c>
      <c r="K138" s="205"/>
      <c r="L138" s="205">
        <f t="shared" si="58"/>
        <v>0.25</v>
      </c>
      <c r="M138" s="199"/>
      <c r="N138" s="608">
        <v>0</v>
      </c>
      <c r="O138" s="608">
        <v>0</v>
      </c>
      <c r="P138" s="608">
        <v>0</v>
      </c>
      <c r="Q138" s="608">
        <v>0</v>
      </c>
      <c r="R138" s="272">
        <v>0</v>
      </c>
      <c r="S138" s="199">
        <f t="shared" si="46"/>
        <v>0</v>
      </c>
      <c r="T138" s="199">
        <f>+S138+M138</f>
        <v>0</v>
      </c>
      <c r="U138" s="205"/>
      <c r="V138" s="223">
        <f>+S138/H138</f>
        <v>0</v>
      </c>
      <c r="W138" s="223"/>
      <c r="X138" s="223">
        <f>+V138*E138</f>
        <v>0</v>
      </c>
      <c r="Y138" s="223"/>
      <c r="Z138" s="266">
        <f>+T138/F138</f>
        <v>0</v>
      </c>
      <c r="AA138" s="266"/>
      <c r="AB138" s="263">
        <f>+Z138*E138</f>
        <v>0</v>
      </c>
      <c r="AC138" s="1107" t="s">
        <v>1571</v>
      </c>
      <c r="AD138" s="719" t="s">
        <v>1920</v>
      </c>
      <c r="AE138" s="908"/>
      <c r="AF138" s="642" t="s">
        <v>2344</v>
      </c>
      <c r="AG138" s="642" t="s">
        <v>2413</v>
      </c>
      <c r="AH138" s="642" t="s">
        <v>2453</v>
      </c>
      <c r="AI138" s="642" t="s">
        <v>2567</v>
      </c>
    </row>
    <row r="139" spans="1:35" ht="106.95" customHeight="1" thickBot="1" x14ac:dyDescent="0.4">
      <c r="A139" s="184"/>
      <c r="B139" s="202" t="s">
        <v>925</v>
      </c>
      <c r="C139" s="259" t="s">
        <v>1363</v>
      </c>
      <c r="D139" s="267" t="s">
        <v>1570</v>
      </c>
      <c r="E139" s="264">
        <v>0.05</v>
      </c>
      <c r="F139" s="262">
        <v>1</v>
      </c>
      <c r="G139" s="199">
        <v>0</v>
      </c>
      <c r="H139" s="199">
        <v>0</v>
      </c>
      <c r="I139" s="205"/>
      <c r="J139" s="205">
        <f t="shared" si="57"/>
        <v>0</v>
      </c>
      <c r="K139" s="205"/>
      <c r="L139" s="205">
        <f t="shared" si="58"/>
        <v>0</v>
      </c>
      <c r="M139" s="199"/>
      <c r="N139" s="608"/>
      <c r="O139" s="199"/>
      <c r="P139" s="199"/>
      <c r="Q139" s="199"/>
      <c r="R139" s="272"/>
      <c r="S139" s="199">
        <f t="shared" si="46"/>
        <v>0</v>
      </c>
      <c r="T139" s="199">
        <f>+S139+M139</f>
        <v>0</v>
      </c>
      <c r="U139" s="205"/>
      <c r="V139" s="223"/>
      <c r="W139" s="223"/>
      <c r="X139" s="223">
        <f>+V139*E139</f>
        <v>0</v>
      </c>
      <c r="Y139" s="223"/>
      <c r="Z139" s="266"/>
      <c r="AA139" s="266"/>
      <c r="AB139" s="263">
        <f>+Z139*E139</f>
        <v>0</v>
      </c>
      <c r="AC139" s="725" t="s">
        <v>1852</v>
      </c>
      <c r="AD139" s="719" t="s">
        <v>1977</v>
      </c>
      <c r="AE139" s="602"/>
      <c r="AF139" s="719" t="s">
        <v>2329</v>
      </c>
      <c r="AG139" s="602"/>
      <c r="AH139" s="602"/>
    </row>
    <row r="140" spans="1:35" ht="57" customHeight="1" thickBot="1" x14ac:dyDescent="0.4">
      <c r="A140" s="184"/>
      <c r="B140" s="1319" t="s">
        <v>1817</v>
      </c>
      <c r="C140" s="1333"/>
      <c r="D140" s="267"/>
      <c r="E140" s="268">
        <v>0.15</v>
      </c>
      <c r="F140" s="262"/>
      <c r="G140" s="192"/>
      <c r="H140" s="192"/>
      <c r="I140" s="198">
        <f>+AVERAGE(I141:I143)</f>
        <v>0.27</v>
      </c>
      <c r="J140" s="198">
        <f>+AVERAGE(J141:J143)</f>
        <v>0.33333333333333331</v>
      </c>
      <c r="K140" s="198">
        <f>+K141+K142+K143</f>
        <v>0.22900000000000001</v>
      </c>
      <c r="L140" s="198">
        <f>+L141+L142+L143</f>
        <v>0.26250000000000001</v>
      </c>
      <c r="M140" s="197"/>
      <c r="N140" s="197"/>
      <c r="O140" s="197"/>
      <c r="P140" s="197"/>
      <c r="Q140" s="197"/>
      <c r="R140" s="1218"/>
      <c r="S140" s="199"/>
      <c r="T140" s="197"/>
      <c r="U140" s="221">
        <f>+AVERAGE(U141:U143)</f>
        <v>0.84660512820512823</v>
      </c>
      <c r="V140" s="221">
        <f>+AVERAGE(V141:V143)</f>
        <v>1</v>
      </c>
      <c r="W140" s="221">
        <f>+(W141+W142+W143)*E140</f>
        <v>0.13619446153846154</v>
      </c>
      <c r="X140" s="221">
        <f>+(X141+X142+X143)*E140</f>
        <v>0.15</v>
      </c>
      <c r="Y140" s="198">
        <f>+AVERAGE(Y141:Y143)</f>
        <v>0.2016266666666667</v>
      </c>
      <c r="Z140" s="198">
        <f>+AVERAGE(Z141:Z143)</f>
        <v>1</v>
      </c>
      <c r="AA140" s="258">
        <f>+(AA141+AA142+AA143)*E140</f>
        <v>3.5951400000000001E-2</v>
      </c>
      <c r="AB140" s="258">
        <f>+(AB141+AB142+AB143)</f>
        <v>1</v>
      </c>
      <c r="AC140" s="1106"/>
      <c r="AD140" s="602"/>
      <c r="AE140" s="602"/>
      <c r="AF140" s="602"/>
      <c r="AG140" s="602"/>
      <c r="AH140" s="602"/>
    </row>
    <row r="141" spans="1:35" ht="108" customHeight="1" thickBot="1" x14ac:dyDescent="0.4">
      <c r="A141" s="184"/>
      <c r="B141" s="1001" t="s">
        <v>926</v>
      </c>
      <c r="C141" s="1011" t="s">
        <v>1364</v>
      </c>
      <c r="D141" s="267" t="s">
        <v>927</v>
      </c>
      <c r="E141" s="264">
        <v>0.05</v>
      </c>
      <c r="F141" s="262">
        <v>10</v>
      </c>
      <c r="G141" s="199">
        <v>0.3</v>
      </c>
      <c r="H141" s="722">
        <v>5</v>
      </c>
      <c r="I141" s="205">
        <f>+G141/F141</f>
        <v>0.03</v>
      </c>
      <c r="J141" s="205">
        <f t="shared" ref="J141:J143" si="59">+H141/F141</f>
        <v>0.5</v>
      </c>
      <c r="K141" s="205">
        <f>+(G141/F141)*E141</f>
        <v>1.5E-3</v>
      </c>
      <c r="L141" s="205">
        <f t="shared" ref="L141:L143" si="60">+(H141/F141)*E141</f>
        <v>2.5000000000000001E-2</v>
      </c>
      <c r="M141" s="199">
        <v>0.3</v>
      </c>
      <c r="N141" s="608">
        <v>0</v>
      </c>
      <c r="O141" s="608">
        <v>0.57948999999999995</v>
      </c>
      <c r="P141" s="608">
        <v>4</v>
      </c>
      <c r="Q141" s="608">
        <v>4.42</v>
      </c>
      <c r="R141" s="608">
        <f>8.62-Q141</f>
        <v>4.1999999999999993</v>
      </c>
      <c r="S141" s="235">
        <f t="shared" si="46"/>
        <v>13.199489999999999</v>
      </c>
      <c r="T141" s="235">
        <f>+S141+M141</f>
        <v>13.49949</v>
      </c>
      <c r="U141" s="223">
        <f>+(M141/G141)</f>
        <v>1</v>
      </c>
      <c r="V141" s="223">
        <v>1</v>
      </c>
      <c r="W141" s="223">
        <f>+U141*E141</f>
        <v>0.05</v>
      </c>
      <c r="X141" s="223">
        <f>+V141*E141</f>
        <v>0.05</v>
      </c>
      <c r="Y141" s="223">
        <f>+M141/F141</f>
        <v>0.03</v>
      </c>
      <c r="Z141" s="266">
        <v>1</v>
      </c>
      <c r="AA141" s="266">
        <f>+Y141*E141</f>
        <v>1.5E-3</v>
      </c>
      <c r="AB141" s="266">
        <f>+Z141*E141</f>
        <v>0.05</v>
      </c>
      <c r="AC141" s="725" t="s">
        <v>1852</v>
      </c>
      <c r="AD141" s="641" t="s">
        <v>1893</v>
      </c>
      <c r="AE141" s="637" t="s">
        <v>2284</v>
      </c>
      <c r="AF141" s="642" t="s">
        <v>2296</v>
      </c>
      <c r="AG141" s="1100" t="s">
        <v>2392</v>
      </c>
      <c r="AH141" s="642" t="s">
        <v>2453</v>
      </c>
      <c r="AI141" s="642" t="s">
        <v>2567</v>
      </c>
    </row>
    <row r="142" spans="1:35" ht="181.2" customHeight="1" thickBot="1" x14ac:dyDescent="0.4">
      <c r="A142" s="184"/>
      <c r="B142" s="1032" t="s">
        <v>928</v>
      </c>
      <c r="C142" s="1241" t="s">
        <v>1365</v>
      </c>
      <c r="D142" s="267" t="s">
        <v>927</v>
      </c>
      <c r="E142" s="264">
        <v>0.75</v>
      </c>
      <c r="F142" s="262">
        <v>1</v>
      </c>
      <c r="G142" s="199">
        <v>0.13</v>
      </c>
      <c r="H142" s="199">
        <v>0.25</v>
      </c>
      <c r="I142" s="205">
        <f>+G142/F142</f>
        <v>0.13</v>
      </c>
      <c r="J142" s="205">
        <f t="shared" si="59"/>
        <v>0.25</v>
      </c>
      <c r="K142" s="205">
        <f>+(G142/F142)*E142</f>
        <v>9.7500000000000003E-2</v>
      </c>
      <c r="L142" s="205">
        <f t="shared" si="60"/>
        <v>0.1875</v>
      </c>
      <c r="M142" s="199">
        <v>0.224</v>
      </c>
      <c r="N142" s="608">
        <f>0.296-M142</f>
        <v>7.1999999999999981E-2</v>
      </c>
      <c r="O142" s="608">
        <v>0</v>
      </c>
      <c r="P142" s="608">
        <v>0.18</v>
      </c>
      <c r="Q142" s="608">
        <v>0.18</v>
      </c>
      <c r="R142" s="608">
        <f>0.27+0.125</f>
        <v>0.39500000000000002</v>
      </c>
      <c r="S142" s="199">
        <f t="shared" si="46"/>
        <v>0.82699999999999996</v>
      </c>
      <c r="T142" s="199">
        <f>+S142+M142</f>
        <v>1.0509999999999999</v>
      </c>
      <c r="U142" s="223">
        <v>1</v>
      </c>
      <c r="V142" s="223">
        <v>1</v>
      </c>
      <c r="W142" s="223">
        <f>+U142*E142</f>
        <v>0.75</v>
      </c>
      <c r="X142" s="223">
        <f>+V142*E142</f>
        <v>0.75</v>
      </c>
      <c r="Y142" s="223">
        <f>+M142/F142</f>
        <v>0.224</v>
      </c>
      <c r="Z142" s="266">
        <v>1</v>
      </c>
      <c r="AA142" s="266">
        <f>+Y142*E142</f>
        <v>0.16800000000000001</v>
      </c>
      <c r="AB142" s="266">
        <f>+Z142*E142</f>
        <v>0.75</v>
      </c>
      <c r="AC142" s="725" t="s">
        <v>1852</v>
      </c>
      <c r="AD142" s="719" t="s">
        <v>1972</v>
      </c>
      <c r="AE142" s="719" t="s">
        <v>2283</v>
      </c>
      <c r="AF142" s="719" t="s">
        <v>2329</v>
      </c>
      <c r="AG142" s="719" t="s">
        <v>2436</v>
      </c>
      <c r="AH142" s="642" t="s">
        <v>2453</v>
      </c>
      <c r="AI142" s="1245" t="s">
        <v>2595</v>
      </c>
    </row>
    <row r="143" spans="1:35" ht="108.6" customHeight="1" thickBot="1" x14ac:dyDescent="0.4">
      <c r="A143" s="184"/>
      <c r="B143" s="930" t="s">
        <v>929</v>
      </c>
      <c r="C143" s="931" t="s">
        <v>1366</v>
      </c>
      <c r="D143" s="287" t="s">
        <v>927</v>
      </c>
      <c r="E143" s="264">
        <v>0.2</v>
      </c>
      <c r="F143" s="262">
        <v>100000</v>
      </c>
      <c r="G143" s="199">
        <f>40000+25000</f>
        <v>65000</v>
      </c>
      <c r="H143" s="199">
        <v>25000</v>
      </c>
      <c r="I143" s="205">
        <f>+G143/F143</f>
        <v>0.65</v>
      </c>
      <c r="J143" s="205">
        <f t="shared" si="59"/>
        <v>0.25</v>
      </c>
      <c r="K143" s="205">
        <f>+(G143/F143)*E143</f>
        <v>0.13</v>
      </c>
      <c r="L143" s="205">
        <f t="shared" si="60"/>
        <v>0.05</v>
      </c>
      <c r="M143" s="199">
        <v>35088</v>
      </c>
      <c r="N143" s="608">
        <v>28873</v>
      </c>
      <c r="O143" s="608">
        <v>694</v>
      </c>
      <c r="P143" s="608">
        <f>6826+112289</f>
        <v>119115</v>
      </c>
      <c r="Q143" s="608">
        <v>16799</v>
      </c>
      <c r="R143" s="608">
        <v>3178</v>
      </c>
      <c r="S143" s="199">
        <f t="shared" si="46"/>
        <v>168659</v>
      </c>
      <c r="T143" s="286">
        <f>+S143+M143+19455+28873</f>
        <v>252075</v>
      </c>
      <c r="U143" s="223">
        <f>+(M143/G143)</f>
        <v>0.53981538461538459</v>
      </c>
      <c r="V143" s="223">
        <v>1</v>
      </c>
      <c r="W143" s="223">
        <f>+U143*E143</f>
        <v>0.10796307692307693</v>
      </c>
      <c r="X143" s="223">
        <f>+V143*E143</f>
        <v>0.2</v>
      </c>
      <c r="Y143" s="223">
        <f>+M143/F143</f>
        <v>0.35088000000000003</v>
      </c>
      <c r="Z143" s="266">
        <v>1</v>
      </c>
      <c r="AA143" s="266">
        <f>+Y143*E143</f>
        <v>7.0176000000000002E-2</v>
      </c>
      <c r="AB143" s="266">
        <f>+Z143*E143</f>
        <v>0.2</v>
      </c>
      <c r="AC143" s="725" t="s">
        <v>1852</v>
      </c>
      <c r="AD143" s="765" t="s">
        <v>1908</v>
      </c>
      <c r="AE143" s="602"/>
      <c r="AF143" s="642" t="s">
        <v>2296</v>
      </c>
      <c r="AG143" s="1100" t="s">
        <v>2415</v>
      </c>
      <c r="AH143" s="642" t="s">
        <v>2453</v>
      </c>
      <c r="AI143" s="642" t="s">
        <v>2567</v>
      </c>
    </row>
    <row r="144" spans="1:35" ht="121.95" customHeight="1" thickBot="1" x14ac:dyDescent="0.4">
      <c r="A144" s="184"/>
      <c r="B144" s="1319" t="s">
        <v>1748</v>
      </c>
      <c r="C144" s="1333"/>
      <c r="D144" s="267"/>
      <c r="E144" s="268">
        <v>0.25</v>
      </c>
      <c r="F144" s="262"/>
      <c r="G144" s="192"/>
      <c r="H144" s="192"/>
      <c r="I144" s="198">
        <f>+AVERAGE(I145:I149)</f>
        <v>0.42000000000000004</v>
      </c>
      <c r="J144" s="198">
        <f>+AVERAGE(J145:J149)</f>
        <v>0.19</v>
      </c>
      <c r="K144" s="198">
        <f>+K145+K146+K147+K148+K149</f>
        <v>0.30500000000000005</v>
      </c>
      <c r="L144" s="198">
        <f>+L145+L146+L147+L148+L149</f>
        <v>0.11000000000000001</v>
      </c>
      <c r="M144" s="197"/>
      <c r="N144" s="197"/>
      <c r="O144" s="197"/>
      <c r="P144" s="197"/>
      <c r="Q144" s="197"/>
      <c r="R144" s="1218"/>
      <c r="S144" s="199"/>
      <c r="T144" s="197"/>
      <c r="U144" s="221">
        <f>+AVERAGE(U145:U149)</f>
        <v>0.96666666666666667</v>
      </c>
      <c r="V144" s="221">
        <f>+AVERAGE(V145:V149)</f>
        <v>0.91666666666666663</v>
      </c>
      <c r="W144" s="221">
        <f>+(W145+W146+W147+W148+W149)*E144</f>
        <v>8.2500000000000004E-2</v>
      </c>
      <c r="X144" s="221">
        <f>+(X145+X146+X147+X148+X149)*E144</f>
        <v>8.4375000000000006E-2</v>
      </c>
      <c r="Y144" s="198">
        <f>+AVERAGE(Y145:Y149)</f>
        <v>0.4</v>
      </c>
      <c r="Z144" s="198">
        <f>+AVERAGE(Z145:Z149)</f>
        <v>0.45</v>
      </c>
      <c r="AA144" s="258">
        <f>+(AA145+AA146+AA147+AA148+AA149)*E144</f>
        <v>7.1250000000000008E-2</v>
      </c>
      <c r="AB144" s="258">
        <f>+(AB145+AB146+AB147+AB148+AB149)</f>
        <v>0.31250000000000006</v>
      </c>
      <c r="AC144" s="1112" t="s">
        <v>1866</v>
      </c>
      <c r="AD144" s="602"/>
      <c r="AE144" s="602"/>
      <c r="AF144" s="602"/>
      <c r="AG144" s="602"/>
      <c r="AH144" s="602"/>
    </row>
    <row r="145" spans="1:35" ht="120.6" customHeight="1" thickBot="1" x14ac:dyDescent="0.4">
      <c r="A145" s="184"/>
      <c r="B145" s="1012" t="s">
        <v>930</v>
      </c>
      <c r="C145" s="1013" t="s">
        <v>1367</v>
      </c>
      <c r="D145" s="260" t="s">
        <v>1572</v>
      </c>
      <c r="E145" s="264">
        <v>0.5</v>
      </c>
      <c r="F145" s="262">
        <v>10</v>
      </c>
      <c r="G145" s="199">
        <v>0</v>
      </c>
      <c r="H145" s="199">
        <v>0</v>
      </c>
      <c r="I145" s="205">
        <v>0</v>
      </c>
      <c r="J145" s="205">
        <f t="shared" ref="J145:J149" si="61">+H145/F145</f>
        <v>0</v>
      </c>
      <c r="K145" s="205"/>
      <c r="L145" s="205">
        <f t="shared" ref="L145:L149" si="62">+(H145/F145)*E145</f>
        <v>0</v>
      </c>
      <c r="M145" s="199"/>
      <c r="N145" s="608"/>
      <c r="O145" s="608"/>
      <c r="P145" s="608"/>
      <c r="Q145" s="608"/>
      <c r="R145" s="608"/>
      <c r="S145" s="199">
        <f t="shared" si="46"/>
        <v>0</v>
      </c>
      <c r="T145" s="199">
        <f>+S145+M145</f>
        <v>0</v>
      </c>
      <c r="U145" s="223"/>
      <c r="V145" s="223"/>
      <c r="W145" s="223"/>
      <c r="X145" s="223">
        <f>+V145*E145</f>
        <v>0</v>
      </c>
      <c r="Y145" s="223">
        <v>0</v>
      </c>
      <c r="Z145" s="266">
        <f>+T145/F145</f>
        <v>0</v>
      </c>
      <c r="AA145" s="266">
        <v>0</v>
      </c>
      <c r="AB145" s="266">
        <f>+Z145*E145</f>
        <v>0</v>
      </c>
      <c r="AC145" s="725" t="s">
        <v>1852</v>
      </c>
      <c r="AD145" s="641" t="s">
        <v>1893</v>
      </c>
      <c r="AE145" s="602"/>
      <c r="AF145" s="642" t="s">
        <v>2296</v>
      </c>
      <c r="AG145" s="719" t="s">
        <v>2376</v>
      </c>
      <c r="AH145" s="642" t="s">
        <v>2453</v>
      </c>
      <c r="AI145" s="642" t="s">
        <v>2567</v>
      </c>
    </row>
    <row r="146" spans="1:35" ht="55.2" customHeight="1" thickBot="1" x14ac:dyDescent="0.4">
      <c r="A146" s="184"/>
      <c r="B146" s="1001" t="s">
        <v>931</v>
      </c>
      <c r="C146" s="1011" t="s">
        <v>1368</v>
      </c>
      <c r="D146" s="260" t="s">
        <v>790</v>
      </c>
      <c r="E146" s="264">
        <v>0.1</v>
      </c>
      <c r="F146" s="262">
        <v>1</v>
      </c>
      <c r="G146" s="199">
        <v>1</v>
      </c>
      <c r="H146" s="199">
        <v>0.5</v>
      </c>
      <c r="I146" s="205">
        <f>+G146/F146</f>
        <v>1</v>
      </c>
      <c r="J146" s="205">
        <f t="shared" si="61"/>
        <v>0.5</v>
      </c>
      <c r="K146" s="205">
        <f>+(G146/F146)*E146</f>
        <v>0.1</v>
      </c>
      <c r="L146" s="205">
        <f t="shared" si="62"/>
        <v>0.05</v>
      </c>
      <c r="M146" s="235">
        <v>1</v>
      </c>
      <c r="N146" s="608">
        <v>0</v>
      </c>
      <c r="O146" s="608">
        <v>0.8</v>
      </c>
      <c r="P146" s="608">
        <v>0.6</v>
      </c>
      <c r="Q146" s="608">
        <v>0</v>
      </c>
      <c r="R146" s="608">
        <v>0</v>
      </c>
      <c r="S146" s="199">
        <f t="shared" si="46"/>
        <v>1.4</v>
      </c>
      <c r="T146" s="199">
        <f>+S146+M146</f>
        <v>2.4</v>
      </c>
      <c r="U146" s="223">
        <f>+(M146/G146)</f>
        <v>1</v>
      </c>
      <c r="V146" s="223">
        <v>1</v>
      </c>
      <c r="W146" s="223">
        <f>+U146*E146</f>
        <v>0.1</v>
      </c>
      <c r="X146" s="223">
        <f>+V146*E146</f>
        <v>0.1</v>
      </c>
      <c r="Y146" s="223">
        <f>+M146/F146</f>
        <v>1</v>
      </c>
      <c r="Z146" s="266">
        <v>1</v>
      </c>
      <c r="AA146" s="266">
        <f>+Y146*E146</f>
        <v>0.1</v>
      </c>
      <c r="AB146" s="266">
        <f>+Z146*E146</f>
        <v>0.1</v>
      </c>
      <c r="AC146" s="725" t="s">
        <v>1591</v>
      </c>
      <c r="AD146" s="641" t="s">
        <v>1893</v>
      </c>
      <c r="AE146" s="641" t="s">
        <v>2276</v>
      </c>
      <c r="AF146" s="642" t="s">
        <v>2296</v>
      </c>
      <c r="AG146" s="642" t="s">
        <v>2413</v>
      </c>
      <c r="AH146" s="642" t="s">
        <v>2453</v>
      </c>
      <c r="AI146" s="642" t="s">
        <v>2567</v>
      </c>
    </row>
    <row r="147" spans="1:35" ht="54.6" customHeight="1" thickBot="1" x14ac:dyDescent="0.4">
      <c r="A147" s="184"/>
      <c r="B147" s="1001" t="s">
        <v>932</v>
      </c>
      <c r="C147" s="1011" t="s">
        <v>1369</v>
      </c>
      <c r="D147" s="260" t="s">
        <v>790</v>
      </c>
      <c r="E147" s="264">
        <v>0.2</v>
      </c>
      <c r="F147" s="262">
        <v>1</v>
      </c>
      <c r="G147" s="199">
        <v>1</v>
      </c>
      <c r="H147" s="199">
        <v>0.25</v>
      </c>
      <c r="I147" s="205">
        <f>+G147/F147</f>
        <v>1</v>
      </c>
      <c r="J147" s="205">
        <f t="shared" si="61"/>
        <v>0.25</v>
      </c>
      <c r="K147" s="205">
        <f>+(G147/F147)*E147</f>
        <v>0.2</v>
      </c>
      <c r="L147" s="205">
        <f t="shared" si="62"/>
        <v>0.05</v>
      </c>
      <c r="M147" s="199">
        <v>0.9</v>
      </c>
      <c r="N147" s="608">
        <v>0.15</v>
      </c>
      <c r="O147" s="608">
        <v>0.26</v>
      </c>
      <c r="P147" s="608">
        <v>0.16</v>
      </c>
      <c r="Q147" s="608">
        <v>0</v>
      </c>
      <c r="R147" s="608">
        <v>0</v>
      </c>
      <c r="S147" s="199">
        <f t="shared" si="46"/>
        <v>0.57000000000000006</v>
      </c>
      <c r="T147" s="199">
        <f>+S147+M147</f>
        <v>1.4700000000000002</v>
      </c>
      <c r="U147" s="223">
        <f>+(M147/G147)</f>
        <v>0.9</v>
      </c>
      <c r="V147" s="223">
        <v>1</v>
      </c>
      <c r="W147" s="223">
        <f>+U147*E147</f>
        <v>0.18000000000000002</v>
      </c>
      <c r="X147" s="223">
        <f>+V147*E147</f>
        <v>0.2</v>
      </c>
      <c r="Y147" s="223">
        <f>+M147/F147</f>
        <v>0.9</v>
      </c>
      <c r="Z147" s="266">
        <v>1</v>
      </c>
      <c r="AA147" s="266">
        <f>+Y147*E147</f>
        <v>0.18000000000000002</v>
      </c>
      <c r="AB147" s="266">
        <f>+Z147*E147</f>
        <v>0.2</v>
      </c>
      <c r="AC147" s="725" t="s">
        <v>1852</v>
      </c>
      <c r="AD147" s="641" t="s">
        <v>1893</v>
      </c>
      <c r="AE147" s="641" t="s">
        <v>2276</v>
      </c>
      <c r="AF147" s="719" t="s">
        <v>2330</v>
      </c>
      <c r="AG147" s="642" t="s">
        <v>2413</v>
      </c>
      <c r="AH147" s="642" t="s">
        <v>2453</v>
      </c>
      <c r="AI147" s="642" t="s">
        <v>2567</v>
      </c>
    </row>
    <row r="148" spans="1:35" ht="78.599999999999994" customHeight="1" thickBot="1" x14ac:dyDescent="0.4">
      <c r="A148" s="184"/>
      <c r="B148" s="1001" t="s">
        <v>933</v>
      </c>
      <c r="C148" s="1011" t="s">
        <v>1370</v>
      </c>
      <c r="D148" s="260" t="s">
        <v>560</v>
      </c>
      <c r="E148" s="264">
        <v>0.05</v>
      </c>
      <c r="F148" s="262">
        <v>1</v>
      </c>
      <c r="G148" s="280">
        <v>0.1</v>
      </c>
      <c r="H148" s="280">
        <v>0.2</v>
      </c>
      <c r="I148" s="205">
        <f>+G148/F148</f>
        <v>0.1</v>
      </c>
      <c r="J148" s="205">
        <f t="shared" si="61"/>
        <v>0.2</v>
      </c>
      <c r="K148" s="205">
        <f>+(G148/F148)*E148</f>
        <v>5.000000000000001E-3</v>
      </c>
      <c r="L148" s="205">
        <f t="shared" si="62"/>
        <v>1.0000000000000002E-2</v>
      </c>
      <c r="M148" s="288">
        <v>0.1</v>
      </c>
      <c r="N148" s="612">
        <v>0.02</v>
      </c>
      <c r="O148" s="612">
        <v>0.04</v>
      </c>
      <c r="P148" s="612">
        <v>0.08</v>
      </c>
      <c r="Q148" s="612">
        <v>0.01</v>
      </c>
      <c r="R148" s="612">
        <v>0</v>
      </c>
      <c r="S148" s="288">
        <f t="shared" si="46"/>
        <v>0.15000000000000002</v>
      </c>
      <c r="T148" s="288">
        <f>+S148+M148</f>
        <v>0.25</v>
      </c>
      <c r="U148" s="223">
        <f>+(M148/G148)</f>
        <v>1</v>
      </c>
      <c r="V148" s="223">
        <f>+S148/H148</f>
        <v>0.75000000000000011</v>
      </c>
      <c r="W148" s="223">
        <f>+U148*E148</f>
        <v>0.05</v>
      </c>
      <c r="X148" s="223">
        <f>+V148*E148</f>
        <v>3.7500000000000006E-2</v>
      </c>
      <c r="Y148" s="223">
        <f>+M148/F148</f>
        <v>0.1</v>
      </c>
      <c r="Z148" s="266">
        <f>+T148/F148</f>
        <v>0.25</v>
      </c>
      <c r="AA148" s="266">
        <f>+Y148*E148</f>
        <v>5.000000000000001E-3</v>
      </c>
      <c r="AB148" s="266">
        <f>+Z148*E148</f>
        <v>1.2500000000000001E-2</v>
      </c>
      <c r="AC148" s="725" t="s">
        <v>1852</v>
      </c>
      <c r="AD148" s="641" t="s">
        <v>1893</v>
      </c>
      <c r="AE148" s="641" t="s">
        <v>2276</v>
      </c>
      <c r="AF148" s="642" t="s">
        <v>2296</v>
      </c>
      <c r="AG148" s="1100" t="s">
        <v>2384</v>
      </c>
      <c r="AH148" s="642" t="s">
        <v>2453</v>
      </c>
      <c r="AI148" s="642" t="s">
        <v>2567</v>
      </c>
    </row>
    <row r="149" spans="1:35" ht="70.95" customHeight="1" thickBot="1" x14ac:dyDescent="0.4">
      <c r="A149" s="184"/>
      <c r="B149" s="202" t="s">
        <v>934</v>
      </c>
      <c r="C149" s="259" t="s">
        <v>1371</v>
      </c>
      <c r="D149" s="260" t="s">
        <v>1537</v>
      </c>
      <c r="E149" s="264">
        <v>0.15</v>
      </c>
      <c r="F149" s="262">
        <v>1</v>
      </c>
      <c r="G149" s="280">
        <v>0</v>
      </c>
      <c r="H149" s="280">
        <v>0</v>
      </c>
      <c r="I149" s="205">
        <v>0</v>
      </c>
      <c r="J149" s="205">
        <f t="shared" si="61"/>
        <v>0</v>
      </c>
      <c r="K149" s="205"/>
      <c r="L149" s="205">
        <f t="shared" si="62"/>
        <v>0</v>
      </c>
      <c r="M149" s="290"/>
      <c r="N149" s="613"/>
      <c r="O149" s="290"/>
      <c r="P149" s="290"/>
      <c r="Q149" s="290"/>
      <c r="R149" s="1221"/>
      <c r="S149" s="290">
        <f t="shared" si="46"/>
        <v>0</v>
      </c>
      <c r="T149" s="290">
        <f>+S149+M149</f>
        <v>0</v>
      </c>
      <c r="U149" s="223"/>
      <c r="V149" s="223"/>
      <c r="W149" s="223"/>
      <c r="X149" s="223">
        <f>+V149*E149</f>
        <v>0</v>
      </c>
      <c r="Y149" s="223">
        <v>0</v>
      </c>
      <c r="Z149" s="266">
        <f>+T149/F149</f>
        <v>0</v>
      </c>
      <c r="AA149" s="266"/>
      <c r="AB149" s="266">
        <f>+Z149*E149</f>
        <v>0</v>
      </c>
      <c r="AC149" s="725" t="s">
        <v>1852</v>
      </c>
      <c r="AD149" s="719" t="s">
        <v>1977</v>
      </c>
      <c r="AE149" s="602"/>
      <c r="AF149" s="719" t="s">
        <v>2329</v>
      </c>
      <c r="AG149" s="602"/>
      <c r="AH149" s="602"/>
    </row>
    <row r="150" spans="1:35" ht="57" customHeight="1" thickBot="1" x14ac:dyDescent="0.4">
      <c r="A150" s="184"/>
      <c r="B150" s="1319" t="s">
        <v>1749</v>
      </c>
      <c r="C150" s="1333"/>
      <c r="D150" s="267"/>
      <c r="E150" s="268">
        <v>0.3</v>
      </c>
      <c r="F150" s="262"/>
      <c r="G150" s="192"/>
      <c r="H150" s="192"/>
      <c r="I150" s="198">
        <f>+AVERAGE(I151:I158)</f>
        <v>0.14222222222222222</v>
      </c>
      <c r="J150" s="198">
        <f>+AVERAGE(J151:J158)</f>
        <v>0.18523809523809523</v>
      </c>
      <c r="K150" s="198">
        <f>+K151+K152+K153+K154+K155+K156+K157+K158</f>
        <v>0.10183333333333333</v>
      </c>
      <c r="L150" s="198">
        <f>+L151+L152+L153+L154+L155+L156+L157+L158</f>
        <v>0.24816666666666667</v>
      </c>
      <c r="M150" s="197"/>
      <c r="N150" s="197"/>
      <c r="O150" s="197"/>
      <c r="P150" s="197"/>
      <c r="Q150" s="197"/>
      <c r="R150" s="1218"/>
      <c r="S150" s="199"/>
      <c r="T150" s="197"/>
      <c r="U150" s="221">
        <f>+AVERAGE(U151:U158)</f>
        <v>0.80333333333333323</v>
      </c>
      <c r="V150" s="221">
        <f>+AVERAGE(V151:V158)</f>
        <v>0.83551724137931027</v>
      </c>
      <c r="W150" s="221">
        <f>+(W151+W152+W153+W154+W155+W156+W157+W158)*E150</f>
        <v>0.23130000000000001</v>
      </c>
      <c r="X150" s="221">
        <f>+(X151+X152+X153+X154+X155+X156+X157+X158)*E150</f>
        <v>0.20291379310344829</v>
      </c>
      <c r="Y150" s="198">
        <f>+AVERAGE(Y151:Y158)</f>
        <v>0.12000000000000001</v>
      </c>
      <c r="Z150" s="198">
        <f>+AVERAGE(Z151:Z158)</f>
        <v>0.41444444444444439</v>
      </c>
      <c r="AA150" s="258">
        <f>+(AA151+AA152+AA153+AA154+AA155+AA156+AA157)*E150</f>
        <v>2.8350000000000004E-2</v>
      </c>
      <c r="AB150" s="258">
        <f>+(AB151+AB152+AB153+AB154+AB155+AB156+AB157)</f>
        <v>0.58966666666666667</v>
      </c>
      <c r="AC150" s="1106"/>
      <c r="AD150" s="602"/>
      <c r="AE150" s="602"/>
      <c r="AF150" s="602"/>
      <c r="AG150" s="602"/>
      <c r="AH150" s="602"/>
    </row>
    <row r="151" spans="1:35" ht="87.6" customHeight="1" thickBot="1" x14ac:dyDescent="0.4">
      <c r="A151" s="184"/>
      <c r="B151" s="1001" t="s">
        <v>935</v>
      </c>
      <c r="C151" s="1011" t="s">
        <v>1372</v>
      </c>
      <c r="D151" s="291" t="s">
        <v>936</v>
      </c>
      <c r="E151" s="292">
        <v>0.5</v>
      </c>
      <c r="F151" s="262">
        <v>10</v>
      </c>
      <c r="G151" s="199">
        <v>1</v>
      </c>
      <c r="H151" s="199">
        <v>4</v>
      </c>
      <c r="I151" s="205">
        <f t="shared" ref="I151:I157" si="63">+G151/F151</f>
        <v>0.1</v>
      </c>
      <c r="J151" s="205">
        <f t="shared" ref="J151:J158" si="64">+H151/F151</f>
        <v>0.4</v>
      </c>
      <c r="K151" s="205">
        <f t="shared" ref="K151:K157" si="65">+(G151/F151)*E151</f>
        <v>0.05</v>
      </c>
      <c r="L151" s="205">
        <f t="shared" ref="L151:L158" si="66">+(H151/F151)*E151</f>
        <v>0.2</v>
      </c>
      <c r="M151" s="608">
        <v>1</v>
      </c>
      <c r="N151" s="608">
        <v>0.03</v>
      </c>
      <c r="O151" s="608">
        <v>5</v>
      </c>
      <c r="P151" s="608">
        <v>3.97</v>
      </c>
      <c r="Q151" s="608">
        <v>0</v>
      </c>
      <c r="R151" s="608">
        <v>0</v>
      </c>
      <c r="S151" s="199">
        <f t="shared" si="46"/>
        <v>9</v>
      </c>
      <c r="T151" s="199">
        <f>+S151+M151</f>
        <v>10</v>
      </c>
      <c r="U151" s="223">
        <f>+(M151/G151)</f>
        <v>1</v>
      </c>
      <c r="V151" s="223">
        <v>1</v>
      </c>
      <c r="W151" s="223">
        <f>+U151*E151</f>
        <v>0.5</v>
      </c>
      <c r="X151" s="223">
        <f>+V151*E151</f>
        <v>0.5</v>
      </c>
      <c r="Y151" s="223">
        <f>+M151/F151</f>
        <v>0.1</v>
      </c>
      <c r="Z151" s="266">
        <f>+T151/F151</f>
        <v>1</v>
      </c>
      <c r="AA151" s="266">
        <f>+Y151*E151</f>
        <v>0.05</v>
      </c>
      <c r="AB151" s="266">
        <f t="shared" ref="AB151:AB158" si="67">+Z151*E151</f>
        <v>0.5</v>
      </c>
      <c r="AC151" s="725" t="s">
        <v>1852</v>
      </c>
      <c r="AD151" s="641" t="s">
        <v>1893</v>
      </c>
      <c r="AE151" s="641" t="s">
        <v>2276</v>
      </c>
      <c r="AF151" s="642" t="s">
        <v>2296</v>
      </c>
      <c r="AG151" s="642" t="s">
        <v>2413</v>
      </c>
      <c r="AH151" s="642" t="s">
        <v>2453</v>
      </c>
      <c r="AI151" s="642" t="s">
        <v>2567</v>
      </c>
    </row>
    <row r="152" spans="1:35" ht="121.2" customHeight="1" thickBot="1" x14ac:dyDescent="0.4">
      <c r="A152" s="184"/>
      <c r="B152" s="1001" t="s">
        <v>937</v>
      </c>
      <c r="C152" s="1011" t="s">
        <v>1373</v>
      </c>
      <c r="D152" s="260" t="s">
        <v>936</v>
      </c>
      <c r="E152" s="264">
        <v>0.05</v>
      </c>
      <c r="F152" s="262">
        <v>20</v>
      </c>
      <c r="G152" s="199">
        <v>5</v>
      </c>
      <c r="H152" s="199">
        <v>5</v>
      </c>
      <c r="I152" s="205">
        <f t="shared" si="63"/>
        <v>0.25</v>
      </c>
      <c r="J152" s="205">
        <f t="shared" si="64"/>
        <v>0.25</v>
      </c>
      <c r="K152" s="205">
        <f t="shared" si="65"/>
        <v>1.2500000000000001E-2</v>
      </c>
      <c r="L152" s="205">
        <f t="shared" si="66"/>
        <v>1.2500000000000001E-2</v>
      </c>
      <c r="M152" s="608">
        <v>3.6</v>
      </c>
      <c r="N152" s="608">
        <v>0</v>
      </c>
      <c r="O152" s="608">
        <v>3</v>
      </c>
      <c r="P152" s="608">
        <v>1</v>
      </c>
      <c r="Q152" s="608">
        <v>0</v>
      </c>
      <c r="R152" s="272">
        <v>1</v>
      </c>
      <c r="S152" s="199">
        <f t="shared" si="46"/>
        <v>5</v>
      </c>
      <c r="T152" s="199">
        <f>+S152+M152</f>
        <v>8.6</v>
      </c>
      <c r="U152" s="223">
        <f>+(M152/G152)</f>
        <v>0.72</v>
      </c>
      <c r="V152" s="223">
        <f>+S152/H152</f>
        <v>1</v>
      </c>
      <c r="W152" s="223">
        <f>+U152*E152</f>
        <v>3.5999999999999997E-2</v>
      </c>
      <c r="X152" s="223">
        <f>+V152*E152</f>
        <v>0.05</v>
      </c>
      <c r="Y152" s="223">
        <f>+M152/F152</f>
        <v>0.18</v>
      </c>
      <c r="Z152" s="266">
        <f>+T152/F152</f>
        <v>0.43</v>
      </c>
      <c r="AA152" s="266">
        <f>+Y152*E152</f>
        <v>8.9999999999999993E-3</v>
      </c>
      <c r="AB152" s="266">
        <f t="shared" si="67"/>
        <v>2.1500000000000002E-2</v>
      </c>
      <c r="AC152" s="725" t="s">
        <v>1852</v>
      </c>
      <c r="AD152" s="641" t="s">
        <v>1893</v>
      </c>
      <c r="AE152" s="641" t="s">
        <v>2276</v>
      </c>
      <c r="AF152" s="642" t="s">
        <v>2296</v>
      </c>
      <c r="AG152" s="642" t="s">
        <v>2413</v>
      </c>
      <c r="AH152" s="642" t="s">
        <v>2453</v>
      </c>
    </row>
    <row r="153" spans="1:35" ht="108" customHeight="1" thickBot="1" x14ac:dyDescent="0.4">
      <c r="A153" s="184"/>
      <c r="B153" s="1001" t="s">
        <v>938</v>
      </c>
      <c r="C153" s="1011" t="s">
        <v>1374</v>
      </c>
      <c r="D153" s="260" t="s">
        <v>790</v>
      </c>
      <c r="E153" s="264">
        <v>0.1</v>
      </c>
      <c r="F153" s="262">
        <v>2</v>
      </c>
      <c r="G153" s="199">
        <v>0.5</v>
      </c>
      <c r="H153" s="199">
        <v>0</v>
      </c>
      <c r="I153" s="205">
        <f t="shared" ref="I153" si="68">+G153/F153</f>
        <v>0.25</v>
      </c>
      <c r="J153" s="205"/>
      <c r="K153" s="205">
        <f t="shared" ref="K153" si="69">+(G153/F153)*E153</f>
        <v>2.5000000000000001E-2</v>
      </c>
      <c r="L153" s="205"/>
      <c r="M153" s="608">
        <v>0.5</v>
      </c>
      <c r="N153" s="608">
        <v>0</v>
      </c>
      <c r="O153" s="608">
        <v>0</v>
      </c>
      <c r="P153" s="608">
        <v>0</v>
      </c>
      <c r="Q153" s="608">
        <v>0</v>
      </c>
      <c r="R153" s="608">
        <v>0</v>
      </c>
      <c r="S153" s="199">
        <f t="shared" si="46"/>
        <v>0</v>
      </c>
      <c r="T153" s="199">
        <f>+S153+M153</f>
        <v>0.5</v>
      </c>
      <c r="U153" s="223">
        <f>+(M153/G153)</f>
        <v>1</v>
      </c>
      <c r="V153" s="223"/>
      <c r="W153" s="223">
        <f>+U153*E153</f>
        <v>0.1</v>
      </c>
      <c r="X153" s="223"/>
      <c r="Y153" s="223">
        <f>+M153/F153</f>
        <v>0.25</v>
      </c>
      <c r="Z153" s="266">
        <f>+T153/F153</f>
        <v>0.25</v>
      </c>
      <c r="AA153" s="266">
        <f>+Y153*E153</f>
        <v>2.5000000000000001E-2</v>
      </c>
      <c r="AB153" s="266">
        <f t="shared" si="67"/>
        <v>2.5000000000000001E-2</v>
      </c>
      <c r="AC153" s="1113"/>
      <c r="AD153" s="641" t="s">
        <v>1893</v>
      </c>
      <c r="AE153" s="641" t="s">
        <v>2276</v>
      </c>
      <c r="AF153" s="642" t="s">
        <v>2296</v>
      </c>
      <c r="AG153" s="642" t="s">
        <v>2413</v>
      </c>
      <c r="AH153" s="642" t="s">
        <v>2453</v>
      </c>
      <c r="AI153" s="642" t="s">
        <v>2567</v>
      </c>
    </row>
    <row r="154" spans="1:35" ht="78" customHeight="1" thickBot="1" x14ac:dyDescent="0.4">
      <c r="A154" s="184"/>
      <c r="B154" s="1012" t="s">
        <v>939</v>
      </c>
      <c r="C154" s="1013" t="s">
        <v>1375</v>
      </c>
      <c r="D154" s="260" t="s">
        <v>560</v>
      </c>
      <c r="E154" s="264">
        <v>0.05</v>
      </c>
      <c r="F154" s="262">
        <v>1</v>
      </c>
      <c r="G154" s="280">
        <v>0.12</v>
      </c>
      <c r="H154" s="280">
        <v>0.57999999999999996</v>
      </c>
      <c r="I154" s="205">
        <f t="shared" si="63"/>
        <v>0.12</v>
      </c>
      <c r="J154" s="205">
        <f t="shared" si="64"/>
        <v>0.57999999999999996</v>
      </c>
      <c r="K154" s="205">
        <f t="shared" si="65"/>
        <v>6.0000000000000001E-3</v>
      </c>
      <c r="L154" s="205">
        <f t="shared" si="66"/>
        <v>2.8999999999999998E-2</v>
      </c>
      <c r="M154" s="612">
        <v>0.12</v>
      </c>
      <c r="N154" s="612">
        <v>7.0000000000000007E-2</v>
      </c>
      <c r="O154" s="612">
        <v>0.15</v>
      </c>
      <c r="P154" s="612">
        <v>0.1</v>
      </c>
      <c r="Q154" s="612"/>
      <c r="R154" s="612">
        <v>0.16</v>
      </c>
      <c r="S154" s="288">
        <f t="shared" si="46"/>
        <v>0.48</v>
      </c>
      <c r="T154" s="288">
        <f>+S154+M154</f>
        <v>0.6</v>
      </c>
      <c r="U154" s="223">
        <f>+(M154/G154)</f>
        <v>1</v>
      </c>
      <c r="V154" s="223">
        <f>+S154/H154</f>
        <v>0.82758620689655171</v>
      </c>
      <c r="W154" s="223">
        <f>+U154*E154</f>
        <v>0.05</v>
      </c>
      <c r="X154" s="223">
        <f>+V154*E154</f>
        <v>4.1379310344827586E-2</v>
      </c>
      <c r="Y154" s="223">
        <f>+M154/F154</f>
        <v>0.12</v>
      </c>
      <c r="Z154" s="266">
        <f>+T154/F154</f>
        <v>0.6</v>
      </c>
      <c r="AA154" s="266">
        <f>+Y154*E154</f>
        <v>6.0000000000000001E-3</v>
      </c>
      <c r="AB154" s="266">
        <f t="shared" si="67"/>
        <v>0.03</v>
      </c>
      <c r="AC154" s="725" t="s">
        <v>1852</v>
      </c>
      <c r="AD154" s="641" t="s">
        <v>1893</v>
      </c>
      <c r="AE154" s="641" t="s">
        <v>2276</v>
      </c>
      <c r="AF154" s="642" t="s">
        <v>2296</v>
      </c>
      <c r="AG154" s="642" t="s">
        <v>2413</v>
      </c>
      <c r="AH154" s="642" t="s">
        <v>2453</v>
      </c>
      <c r="AI154" s="642" t="s">
        <v>2567</v>
      </c>
    </row>
    <row r="155" spans="1:35" ht="67.2" customHeight="1" thickBot="1" x14ac:dyDescent="0.4">
      <c r="A155" s="184"/>
      <c r="B155" s="1001" t="s">
        <v>940</v>
      </c>
      <c r="C155" s="1011" t="s">
        <v>1376</v>
      </c>
      <c r="D155" s="260" t="s">
        <v>560</v>
      </c>
      <c r="E155" s="264">
        <v>0.1</v>
      </c>
      <c r="F155" s="262">
        <v>1</v>
      </c>
      <c r="G155" s="199">
        <v>0</v>
      </c>
      <c r="H155" s="199">
        <v>0</v>
      </c>
      <c r="I155" s="205"/>
      <c r="J155" s="205">
        <f t="shared" si="64"/>
        <v>0</v>
      </c>
      <c r="K155" s="205"/>
      <c r="L155" s="205">
        <f t="shared" si="66"/>
        <v>0</v>
      </c>
      <c r="M155" s="608"/>
      <c r="N155" s="608"/>
      <c r="O155" s="608"/>
      <c r="P155" s="608"/>
      <c r="Q155" s="608"/>
      <c r="R155" s="608"/>
      <c r="S155" s="199">
        <f t="shared" si="46"/>
        <v>0</v>
      </c>
      <c r="T155" s="199">
        <f>+S155+M155</f>
        <v>0</v>
      </c>
      <c r="U155" s="223"/>
      <c r="V155" s="223"/>
      <c r="W155" s="223"/>
      <c r="X155" s="223">
        <f>+V155*E155</f>
        <v>0</v>
      </c>
      <c r="Y155" s="223"/>
      <c r="Z155" s="266"/>
      <c r="AA155" s="266">
        <v>0</v>
      </c>
      <c r="AB155" s="266">
        <f t="shared" si="67"/>
        <v>0</v>
      </c>
      <c r="AC155" s="725" t="s">
        <v>1852</v>
      </c>
      <c r="AD155" s="641" t="s">
        <v>1893</v>
      </c>
      <c r="AE155" s="641" t="s">
        <v>2276</v>
      </c>
      <c r="AF155" s="642" t="s">
        <v>2296</v>
      </c>
      <c r="AG155" s="642" t="s">
        <v>2413</v>
      </c>
      <c r="AH155" s="642" t="s">
        <v>2453</v>
      </c>
      <c r="AI155" s="642" t="s">
        <v>2567</v>
      </c>
    </row>
    <row r="156" spans="1:35" ht="80.400000000000006" customHeight="1" thickBot="1" x14ac:dyDescent="0.4">
      <c r="A156" s="184"/>
      <c r="B156" s="1001" t="s">
        <v>941</v>
      </c>
      <c r="C156" s="1011" t="s">
        <v>1377</v>
      </c>
      <c r="D156" s="260" t="s">
        <v>560</v>
      </c>
      <c r="E156" s="264">
        <v>0.1</v>
      </c>
      <c r="F156" s="262">
        <v>3</v>
      </c>
      <c r="G156" s="280">
        <v>0.1</v>
      </c>
      <c r="H156" s="280">
        <v>0.2</v>
      </c>
      <c r="I156" s="205">
        <f t="shared" si="63"/>
        <v>3.3333333333333333E-2</v>
      </c>
      <c r="J156" s="205">
        <f t="shared" si="64"/>
        <v>6.6666666666666666E-2</v>
      </c>
      <c r="K156" s="205">
        <f t="shared" si="65"/>
        <v>3.3333333333333335E-3</v>
      </c>
      <c r="L156" s="205">
        <f t="shared" si="66"/>
        <v>6.6666666666666671E-3</v>
      </c>
      <c r="M156" s="941">
        <v>0.06</v>
      </c>
      <c r="N156" s="612">
        <v>0.05</v>
      </c>
      <c r="O156" s="612">
        <v>0.01</v>
      </c>
      <c r="P156" s="612">
        <v>0.01</v>
      </c>
      <c r="Q156" s="612">
        <v>0</v>
      </c>
      <c r="R156" s="612">
        <v>0</v>
      </c>
      <c r="S156" s="288">
        <f t="shared" si="46"/>
        <v>7.0000000000000007E-2</v>
      </c>
      <c r="T156" s="940">
        <f>+S156+M156+0.04</f>
        <v>0.17</v>
      </c>
      <c r="U156" s="205">
        <f>+(M156/G156)</f>
        <v>0.6</v>
      </c>
      <c r="V156" s="223">
        <f>+S156/H156</f>
        <v>0.35000000000000003</v>
      </c>
      <c r="W156" s="205">
        <f>+U156*E156</f>
        <v>0.06</v>
      </c>
      <c r="X156" s="205">
        <f>+V156*E156</f>
        <v>3.5000000000000003E-2</v>
      </c>
      <c r="Y156" s="223">
        <f>+M156/F156</f>
        <v>0.02</v>
      </c>
      <c r="Z156" s="266">
        <f>+T156/F156</f>
        <v>5.6666666666666671E-2</v>
      </c>
      <c r="AA156" s="266">
        <f>+Y156*E156</f>
        <v>2E-3</v>
      </c>
      <c r="AB156" s="266">
        <f t="shared" si="67"/>
        <v>5.6666666666666671E-3</v>
      </c>
      <c r="AC156" s="725" t="s">
        <v>1852</v>
      </c>
      <c r="AD156" s="641" t="s">
        <v>1893</v>
      </c>
      <c r="AE156" s="641" t="s">
        <v>2276</v>
      </c>
      <c r="AF156" s="642" t="s">
        <v>2296</v>
      </c>
      <c r="AG156" s="642" t="s">
        <v>2413</v>
      </c>
      <c r="AH156" s="642" t="s">
        <v>2453</v>
      </c>
      <c r="AI156" s="642" t="s">
        <v>2567</v>
      </c>
    </row>
    <row r="157" spans="1:35" ht="103.8" customHeight="1" thickBot="1" x14ac:dyDescent="0.4">
      <c r="A157" s="184"/>
      <c r="B157" s="1032" t="s">
        <v>942</v>
      </c>
      <c r="C157" s="1241" t="s">
        <v>1378</v>
      </c>
      <c r="D157" s="260" t="s">
        <v>560</v>
      </c>
      <c r="E157" s="264">
        <v>0.05</v>
      </c>
      <c r="F157" s="262">
        <v>1</v>
      </c>
      <c r="G157" s="280">
        <v>0.1</v>
      </c>
      <c r="H157" s="1239">
        <v>0</v>
      </c>
      <c r="I157" s="205">
        <f t="shared" si="63"/>
        <v>0.1</v>
      </c>
      <c r="J157" s="205">
        <f t="shared" si="64"/>
        <v>0</v>
      </c>
      <c r="K157" s="205">
        <f t="shared" si="65"/>
        <v>5.000000000000001E-3</v>
      </c>
      <c r="L157" s="205">
        <f t="shared" si="66"/>
        <v>0</v>
      </c>
      <c r="M157" s="612">
        <v>0.05</v>
      </c>
      <c r="N157" s="612"/>
      <c r="O157" s="612"/>
      <c r="P157" s="612"/>
      <c r="Q157" s="612"/>
      <c r="R157" s="612">
        <v>0.1</v>
      </c>
      <c r="S157" s="288">
        <f t="shared" si="46"/>
        <v>0.1</v>
      </c>
      <c r="T157" s="288">
        <f>+S157+M157</f>
        <v>0.15000000000000002</v>
      </c>
      <c r="U157" s="205">
        <f>+(M157/G157)</f>
        <v>0.5</v>
      </c>
      <c r="V157" s="223">
        <v>1</v>
      </c>
      <c r="W157" s="205">
        <f>+U157*E157</f>
        <v>2.5000000000000001E-2</v>
      </c>
      <c r="X157" s="205">
        <f>+V157*E157</f>
        <v>0.05</v>
      </c>
      <c r="Y157" s="223">
        <f>+M157/F157</f>
        <v>0.05</v>
      </c>
      <c r="Z157" s="266">
        <f>+T157/F157</f>
        <v>0.15000000000000002</v>
      </c>
      <c r="AA157" s="266">
        <f>+Y157*E157</f>
        <v>2.5000000000000005E-3</v>
      </c>
      <c r="AB157" s="266">
        <f t="shared" si="67"/>
        <v>7.5000000000000015E-3</v>
      </c>
      <c r="AC157" s="725" t="s">
        <v>1859</v>
      </c>
      <c r="AD157" s="641" t="s">
        <v>1893</v>
      </c>
      <c r="AE157" s="641" t="s">
        <v>2276</v>
      </c>
      <c r="AF157" s="642" t="s">
        <v>2296</v>
      </c>
      <c r="AG157" s="1115" t="s">
        <v>1865</v>
      </c>
      <c r="AH157" s="642" t="s">
        <v>2453</v>
      </c>
      <c r="AI157" s="1240" t="s">
        <v>2575</v>
      </c>
    </row>
    <row r="158" spans="1:35" ht="93.6" customHeight="1" thickBot="1" x14ac:dyDescent="0.4">
      <c r="A158" s="184"/>
      <c r="B158" s="1001" t="s">
        <v>943</v>
      </c>
      <c r="C158" s="1011" t="s">
        <v>1379</v>
      </c>
      <c r="D158" s="260" t="s">
        <v>560</v>
      </c>
      <c r="E158" s="264">
        <v>0.05</v>
      </c>
      <c r="F158" s="262">
        <v>5</v>
      </c>
      <c r="G158" s="199">
        <v>0</v>
      </c>
      <c r="H158" s="199">
        <v>0</v>
      </c>
      <c r="I158" s="205"/>
      <c r="J158" s="205">
        <f t="shared" si="64"/>
        <v>0</v>
      </c>
      <c r="K158" s="205"/>
      <c r="L158" s="205">
        <f t="shared" si="66"/>
        <v>0</v>
      </c>
      <c r="M158" s="608"/>
      <c r="N158" s="608"/>
      <c r="O158" s="608"/>
      <c r="P158" s="608"/>
      <c r="Q158" s="608"/>
      <c r="R158" s="608"/>
      <c r="S158" s="199">
        <f t="shared" si="46"/>
        <v>0</v>
      </c>
      <c r="T158" s="199">
        <f>+S158+M158</f>
        <v>0</v>
      </c>
      <c r="U158" s="205"/>
      <c r="V158" s="223"/>
      <c r="W158" s="205"/>
      <c r="X158" s="205">
        <f>+V158*E158</f>
        <v>0</v>
      </c>
      <c r="Y158" s="223"/>
      <c r="Z158" s="266"/>
      <c r="AA158" s="266">
        <v>0</v>
      </c>
      <c r="AB158" s="266">
        <f t="shared" si="67"/>
        <v>0</v>
      </c>
      <c r="AC158" s="725" t="s">
        <v>1852</v>
      </c>
      <c r="AD158" s="641" t="s">
        <v>1893</v>
      </c>
      <c r="AE158" s="641" t="s">
        <v>2276</v>
      </c>
      <c r="AF158" s="642" t="s">
        <v>2296</v>
      </c>
      <c r="AG158" s="642" t="s">
        <v>2413</v>
      </c>
      <c r="AH158" s="642" t="s">
        <v>2453</v>
      </c>
      <c r="AI158" s="642" t="s">
        <v>2567</v>
      </c>
    </row>
    <row r="159" spans="1:35" ht="42.75" customHeight="1" thickBot="1" x14ac:dyDescent="0.4">
      <c r="A159" s="184"/>
      <c r="B159" s="1319" t="s">
        <v>1750</v>
      </c>
      <c r="C159" s="1333"/>
      <c r="D159" s="267"/>
      <c r="E159" s="268">
        <v>0.1</v>
      </c>
      <c r="F159" s="262"/>
      <c r="G159" s="192"/>
      <c r="H159" s="192"/>
      <c r="I159" s="198"/>
      <c r="J159" s="198">
        <f>+AVERAGE(J160:J166)</f>
        <v>0</v>
      </c>
      <c r="K159" s="198"/>
      <c r="L159" s="198">
        <f>+L160+L161+L162+L163+L164+L165+L166</f>
        <v>0</v>
      </c>
      <c r="M159" s="197"/>
      <c r="N159" s="197"/>
      <c r="O159" s="197"/>
      <c r="P159" s="197"/>
      <c r="Q159" s="197"/>
      <c r="R159" s="1218"/>
      <c r="S159" s="199"/>
      <c r="T159" s="197"/>
      <c r="U159" s="221"/>
      <c r="V159" s="221"/>
      <c r="W159" s="221"/>
      <c r="X159" s="221">
        <f>+(X160+X161+X162+X163+X164+X165+X166)*E159</f>
        <v>0</v>
      </c>
      <c r="Y159" s="198"/>
      <c r="Z159" s="258"/>
      <c r="AA159" s="258"/>
      <c r="AB159" s="258">
        <f>+(AB160+AB161+AB162+AB163+AB164+AB165+AB166)</f>
        <v>0</v>
      </c>
      <c r="AC159" s="1106"/>
      <c r="AD159" s="602"/>
      <c r="AE159" s="602"/>
      <c r="AF159" s="602"/>
      <c r="AG159" s="602"/>
      <c r="AH159" s="602"/>
    </row>
    <row r="160" spans="1:35" ht="87" customHeight="1" thickBot="1" x14ac:dyDescent="0.4">
      <c r="A160" s="184"/>
      <c r="B160" s="1001" t="s">
        <v>944</v>
      </c>
      <c r="C160" s="1011" t="s">
        <v>1380</v>
      </c>
      <c r="D160" s="260" t="s">
        <v>560</v>
      </c>
      <c r="E160" s="264">
        <v>0.06</v>
      </c>
      <c r="F160" s="262">
        <v>1</v>
      </c>
      <c r="G160" s="199">
        <v>0</v>
      </c>
      <c r="H160" s="199">
        <v>0</v>
      </c>
      <c r="I160" s="205"/>
      <c r="J160" s="205">
        <f t="shared" ref="J160:J166" si="70">+H160/F160</f>
        <v>0</v>
      </c>
      <c r="K160" s="205"/>
      <c r="L160" s="205">
        <f t="shared" ref="L160:L166" si="71">+(H160/F160)*E160</f>
        <v>0</v>
      </c>
      <c r="M160" s="199"/>
      <c r="N160" s="608"/>
      <c r="O160" s="608"/>
      <c r="P160" s="608"/>
      <c r="Q160" s="608"/>
      <c r="R160" s="272"/>
      <c r="S160" s="199">
        <f t="shared" si="46"/>
        <v>0</v>
      </c>
      <c r="T160" s="199">
        <f t="shared" ref="T160:T166" si="72">+S160+M160</f>
        <v>0</v>
      </c>
      <c r="U160" s="205"/>
      <c r="V160" s="223"/>
      <c r="W160" s="205"/>
      <c r="X160" s="205">
        <f t="shared" ref="X160:X166" si="73">+V160*E160</f>
        <v>0</v>
      </c>
      <c r="Y160" s="223"/>
      <c r="Z160" s="266"/>
      <c r="AA160" s="266"/>
      <c r="AB160" s="266">
        <f t="shared" ref="AB160:AB166" si="74">+Z160*E160</f>
        <v>0</v>
      </c>
      <c r="AC160" s="725" t="s">
        <v>1852</v>
      </c>
      <c r="AD160" s="641" t="s">
        <v>1893</v>
      </c>
      <c r="AE160" s="641" t="s">
        <v>2276</v>
      </c>
      <c r="AF160" s="642" t="s">
        <v>2296</v>
      </c>
      <c r="AG160" s="642" t="s">
        <v>2413</v>
      </c>
      <c r="AH160" s="642" t="s">
        <v>2453</v>
      </c>
      <c r="AI160" s="642" t="s">
        <v>2567</v>
      </c>
    </row>
    <row r="161" spans="1:35" ht="66" customHeight="1" thickBot="1" x14ac:dyDescent="0.4">
      <c r="A161" s="184"/>
      <c r="B161" s="1001" t="s">
        <v>945</v>
      </c>
      <c r="C161" s="1011" t="s">
        <v>1381</v>
      </c>
      <c r="D161" s="260" t="s">
        <v>560</v>
      </c>
      <c r="E161" s="264">
        <v>0.06</v>
      </c>
      <c r="F161" s="262">
        <v>1</v>
      </c>
      <c r="G161" s="199">
        <v>0</v>
      </c>
      <c r="H161" s="199">
        <v>0</v>
      </c>
      <c r="I161" s="205"/>
      <c r="J161" s="205">
        <f t="shared" si="70"/>
        <v>0</v>
      </c>
      <c r="K161" s="205"/>
      <c r="L161" s="205">
        <f t="shared" si="71"/>
        <v>0</v>
      </c>
      <c r="M161" s="199"/>
      <c r="N161" s="608"/>
      <c r="O161" s="608"/>
      <c r="P161" s="608"/>
      <c r="Q161" s="608"/>
      <c r="R161" s="272"/>
      <c r="S161" s="199">
        <f t="shared" si="46"/>
        <v>0</v>
      </c>
      <c r="T161" s="199">
        <f t="shared" si="72"/>
        <v>0</v>
      </c>
      <c r="U161" s="205"/>
      <c r="V161" s="223"/>
      <c r="W161" s="205"/>
      <c r="X161" s="205">
        <f t="shared" si="73"/>
        <v>0</v>
      </c>
      <c r="Y161" s="223"/>
      <c r="Z161" s="266"/>
      <c r="AA161" s="266"/>
      <c r="AB161" s="266">
        <f t="shared" si="74"/>
        <v>0</v>
      </c>
      <c r="AC161" s="725" t="s">
        <v>1852</v>
      </c>
      <c r="AD161" s="641" t="s">
        <v>1893</v>
      </c>
      <c r="AE161" s="641" t="s">
        <v>2276</v>
      </c>
      <c r="AF161" s="642" t="s">
        <v>2296</v>
      </c>
      <c r="AG161" s="642" t="s">
        <v>2413</v>
      </c>
      <c r="AH161" s="642" t="s">
        <v>2453</v>
      </c>
      <c r="AI161" s="642" t="s">
        <v>2567</v>
      </c>
    </row>
    <row r="162" spans="1:35" ht="91.2" customHeight="1" thickBot="1" x14ac:dyDescent="0.4">
      <c r="A162" s="184"/>
      <c r="B162" s="1001" t="s">
        <v>946</v>
      </c>
      <c r="C162" s="1011" t="s">
        <v>1382</v>
      </c>
      <c r="D162" s="260" t="s">
        <v>560</v>
      </c>
      <c r="E162" s="264">
        <v>0.06</v>
      </c>
      <c r="F162" s="262">
        <v>1</v>
      </c>
      <c r="G162" s="199">
        <v>0</v>
      </c>
      <c r="H162" s="199">
        <v>0</v>
      </c>
      <c r="I162" s="205"/>
      <c r="J162" s="205">
        <f t="shared" si="70"/>
        <v>0</v>
      </c>
      <c r="K162" s="205"/>
      <c r="L162" s="205">
        <f t="shared" si="71"/>
        <v>0</v>
      </c>
      <c r="M162" s="199"/>
      <c r="N162" s="608"/>
      <c r="O162" s="608"/>
      <c r="P162" s="608"/>
      <c r="Q162" s="608"/>
      <c r="R162" s="272"/>
      <c r="S162" s="199">
        <f t="shared" si="46"/>
        <v>0</v>
      </c>
      <c r="T162" s="199">
        <f t="shared" si="72"/>
        <v>0</v>
      </c>
      <c r="U162" s="205"/>
      <c r="V162" s="223"/>
      <c r="W162" s="205"/>
      <c r="X162" s="205">
        <f t="shared" si="73"/>
        <v>0</v>
      </c>
      <c r="Y162" s="223"/>
      <c r="Z162" s="266"/>
      <c r="AA162" s="266"/>
      <c r="AB162" s="266">
        <f t="shared" si="74"/>
        <v>0</v>
      </c>
      <c r="AC162" s="725" t="s">
        <v>1852</v>
      </c>
      <c r="AD162" s="641" t="s">
        <v>1893</v>
      </c>
      <c r="AE162" s="641" t="s">
        <v>2276</v>
      </c>
      <c r="AF162" s="642" t="s">
        <v>2296</v>
      </c>
      <c r="AG162" s="642" t="s">
        <v>2413</v>
      </c>
      <c r="AH162" s="642" t="s">
        <v>2453</v>
      </c>
      <c r="AI162" s="642" t="s">
        <v>2567</v>
      </c>
    </row>
    <row r="163" spans="1:35" ht="109.2" customHeight="1" thickBot="1" x14ac:dyDescent="0.4">
      <c r="A163" s="184"/>
      <c r="B163" s="1001" t="s">
        <v>947</v>
      </c>
      <c r="C163" s="1011" t="s">
        <v>1383</v>
      </c>
      <c r="D163" s="260" t="s">
        <v>560</v>
      </c>
      <c r="E163" s="264">
        <v>0.3</v>
      </c>
      <c r="F163" s="262">
        <v>1</v>
      </c>
      <c r="G163" s="199">
        <v>0</v>
      </c>
      <c r="H163" s="199">
        <v>0</v>
      </c>
      <c r="I163" s="205"/>
      <c r="J163" s="205">
        <f t="shared" si="70"/>
        <v>0</v>
      </c>
      <c r="K163" s="205"/>
      <c r="L163" s="205">
        <f t="shared" si="71"/>
        <v>0</v>
      </c>
      <c r="M163" s="199"/>
      <c r="N163" s="608"/>
      <c r="O163" s="608"/>
      <c r="P163" s="608"/>
      <c r="Q163" s="608"/>
      <c r="R163" s="272"/>
      <c r="S163" s="199">
        <f t="shared" si="46"/>
        <v>0</v>
      </c>
      <c r="T163" s="199">
        <f t="shared" si="72"/>
        <v>0</v>
      </c>
      <c r="U163" s="205"/>
      <c r="V163" s="223"/>
      <c r="W163" s="205"/>
      <c r="X163" s="205">
        <f t="shared" si="73"/>
        <v>0</v>
      </c>
      <c r="Y163" s="223"/>
      <c r="Z163" s="266"/>
      <c r="AA163" s="266"/>
      <c r="AB163" s="266">
        <f t="shared" si="74"/>
        <v>0</v>
      </c>
      <c r="AC163" s="725" t="s">
        <v>1852</v>
      </c>
      <c r="AD163" s="641" t="s">
        <v>1893</v>
      </c>
      <c r="AE163" s="641" t="s">
        <v>2276</v>
      </c>
      <c r="AF163" s="642" t="s">
        <v>2296</v>
      </c>
      <c r="AG163" s="642" t="s">
        <v>2413</v>
      </c>
      <c r="AH163" s="642" t="s">
        <v>2453</v>
      </c>
      <c r="AI163" s="642" t="s">
        <v>2567</v>
      </c>
    </row>
    <row r="164" spans="1:35" ht="72.599999999999994" customHeight="1" thickBot="1" x14ac:dyDescent="0.4">
      <c r="A164" s="184"/>
      <c r="B164" s="1012" t="s">
        <v>948</v>
      </c>
      <c r="C164" s="1013" t="s">
        <v>1384</v>
      </c>
      <c r="D164" s="260" t="s">
        <v>811</v>
      </c>
      <c r="E164" s="264">
        <v>0.02</v>
      </c>
      <c r="F164" s="262">
        <v>1</v>
      </c>
      <c r="G164" s="199">
        <v>0</v>
      </c>
      <c r="H164" s="199">
        <v>0</v>
      </c>
      <c r="I164" s="205"/>
      <c r="J164" s="205">
        <f t="shared" si="70"/>
        <v>0</v>
      </c>
      <c r="K164" s="205"/>
      <c r="L164" s="205">
        <f t="shared" si="71"/>
        <v>0</v>
      </c>
      <c r="M164" s="199"/>
      <c r="N164" s="608"/>
      <c r="O164" s="608"/>
      <c r="P164" s="608"/>
      <c r="Q164" s="608"/>
      <c r="R164" s="272"/>
      <c r="S164" s="199">
        <f t="shared" si="46"/>
        <v>0</v>
      </c>
      <c r="T164" s="199">
        <f t="shared" si="72"/>
        <v>0</v>
      </c>
      <c r="U164" s="205"/>
      <c r="V164" s="223"/>
      <c r="W164" s="205"/>
      <c r="X164" s="205">
        <f t="shared" si="73"/>
        <v>0</v>
      </c>
      <c r="Y164" s="223"/>
      <c r="Z164" s="266"/>
      <c r="AA164" s="266"/>
      <c r="AB164" s="266">
        <f t="shared" si="74"/>
        <v>0</v>
      </c>
      <c r="AC164" s="725" t="s">
        <v>1852</v>
      </c>
      <c r="AD164" s="641" t="s">
        <v>1893</v>
      </c>
      <c r="AE164" s="641" t="s">
        <v>2276</v>
      </c>
      <c r="AF164" s="642" t="s">
        <v>2296</v>
      </c>
      <c r="AG164" s="642" t="s">
        <v>2413</v>
      </c>
      <c r="AH164" s="642" t="s">
        <v>2453</v>
      </c>
      <c r="AI164" s="642" t="s">
        <v>2567</v>
      </c>
    </row>
    <row r="165" spans="1:35" ht="100.95" customHeight="1" thickBot="1" x14ac:dyDescent="0.4">
      <c r="A165" s="184"/>
      <c r="B165" s="1012" t="s">
        <v>949</v>
      </c>
      <c r="C165" s="1013" t="s">
        <v>1385</v>
      </c>
      <c r="D165" s="260" t="s">
        <v>825</v>
      </c>
      <c r="E165" s="264">
        <v>0.4</v>
      </c>
      <c r="F165" s="262">
        <v>2</v>
      </c>
      <c r="G165" s="199">
        <v>0</v>
      </c>
      <c r="H165" s="199">
        <v>0</v>
      </c>
      <c r="I165" s="205"/>
      <c r="J165" s="205">
        <f t="shared" si="70"/>
        <v>0</v>
      </c>
      <c r="K165" s="205"/>
      <c r="L165" s="205">
        <f t="shared" si="71"/>
        <v>0</v>
      </c>
      <c r="M165" s="199"/>
      <c r="N165" s="608"/>
      <c r="O165" s="608"/>
      <c r="P165" s="608"/>
      <c r="Q165" s="608"/>
      <c r="R165" s="272"/>
      <c r="S165" s="199">
        <f t="shared" si="46"/>
        <v>0</v>
      </c>
      <c r="T165" s="199">
        <f t="shared" si="72"/>
        <v>0</v>
      </c>
      <c r="U165" s="205"/>
      <c r="V165" s="205"/>
      <c r="W165" s="205"/>
      <c r="X165" s="205">
        <f t="shared" si="73"/>
        <v>0</v>
      </c>
      <c r="Y165" s="205"/>
      <c r="Z165" s="263"/>
      <c r="AA165" s="263"/>
      <c r="AB165" s="263">
        <f t="shared" si="74"/>
        <v>0</v>
      </c>
      <c r="AC165" s="725" t="s">
        <v>1852</v>
      </c>
      <c r="AD165" s="644" t="s">
        <v>1904</v>
      </c>
      <c r="AE165" s="602"/>
      <c r="AF165" s="719" t="s">
        <v>2329</v>
      </c>
      <c r="AG165" s="602"/>
      <c r="AH165" s="602"/>
      <c r="AI165" s="642" t="s">
        <v>2567</v>
      </c>
    </row>
    <row r="166" spans="1:35" ht="127.2" customHeight="1" thickBot="1" x14ac:dyDescent="0.4">
      <c r="A166" s="184"/>
      <c r="B166" s="1012" t="s">
        <v>950</v>
      </c>
      <c r="C166" s="1013" t="s">
        <v>1386</v>
      </c>
      <c r="D166" s="260" t="s">
        <v>1996</v>
      </c>
      <c r="E166" s="264">
        <v>0.1</v>
      </c>
      <c r="F166" s="262">
        <v>4</v>
      </c>
      <c r="G166" s="199">
        <v>0</v>
      </c>
      <c r="H166" s="199">
        <v>0</v>
      </c>
      <c r="I166" s="205"/>
      <c r="J166" s="205">
        <f t="shared" si="70"/>
        <v>0</v>
      </c>
      <c r="K166" s="205"/>
      <c r="L166" s="205">
        <f t="shared" si="71"/>
        <v>0</v>
      </c>
      <c r="M166" s="199"/>
      <c r="N166" s="608"/>
      <c r="O166" s="608"/>
      <c r="P166" s="608"/>
      <c r="Q166" s="608"/>
      <c r="R166" s="272"/>
      <c r="S166" s="199">
        <f t="shared" si="46"/>
        <v>0</v>
      </c>
      <c r="T166" s="199">
        <f t="shared" si="72"/>
        <v>0</v>
      </c>
      <c r="U166" s="205"/>
      <c r="V166" s="205"/>
      <c r="W166" s="205"/>
      <c r="X166" s="205">
        <f t="shared" si="73"/>
        <v>0</v>
      </c>
      <c r="Y166" s="205"/>
      <c r="Z166" s="263"/>
      <c r="AA166" s="263"/>
      <c r="AB166" s="263">
        <f t="shared" si="74"/>
        <v>0</v>
      </c>
      <c r="AC166" s="725" t="s">
        <v>1852</v>
      </c>
      <c r="AD166" s="644" t="s">
        <v>1904</v>
      </c>
      <c r="AE166" s="602"/>
      <c r="AF166" s="719" t="s">
        <v>2329</v>
      </c>
      <c r="AG166" s="602"/>
      <c r="AH166" s="602"/>
      <c r="AI166" s="642" t="s">
        <v>2567</v>
      </c>
    </row>
    <row r="167" spans="1:35" ht="78" customHeight="1" thickBot="1" x14ac:dyDescent="0.4">
      <c r="A167" s="184"/>
      <c r="B167" s="1323" t="s">
        <v>1818</v>
      </c>
      <c r="C167" s="1333"/>
      <c r="D167" s="267"/>
      <c r="E167" s="270">
        <v>0.05</v>
      </c>
      <c r="F167" s="187">
        <f>+E167*W167</f>
        <v>0</v>
      </c>
      <c r="G167" s="192"/>
      <c r="H167" s="188">
        <f>+E167*X167</f>
        <v>4.5000000000000015E-4</v>
      </c>
      <c r="I167" s="190"/>
      <c r="J167" s="190">
        <f>+(J168)/1</f>
        <v>0.16666666666666666</v>
      </c>
      <c r="K167" s="191"/>
      <c r="L167" s="191">
        <f>+(L168)/1</f>
        <v>0</v>
      </c>
      <c r="M167" s="192"/>
      <c r="N167" s="192"/>
      <c r="O167" s="192"/>
      <c r="P167" s="192"/>
      <c r="Q167" s="192"/>
      <c r="R167" s="251"/>
      <c r="S167" s="1181"/>
      <c r="T167" s="192"/>
      <c r="U167" s="190"/>
      <c r="V167" s="190">
        <f>+V168</f>
        <v>0.90000000000000013</v>
      </c>
      <c r="W167" s="191"/>
      <c r="X167" s="191">
        <f>+(X168)*E167</f>
        <v>9.0000000000000028E-3</v>
      </c>
      <c r="Y167" s="190"/>
      <c r="Z167" s="599">
        <f>+Z168</f>
        <v>0.14850000000000002</v>
      </c>
      <c r="AA167" s="256"/>
      <c r="AB167" s="256">
        <f>+AB168*E167</f>
        <v>4.5000000000000014E-3</v>
      </c>
      <c r="AC167" s="1105"/>
      <c r="AD167" s="602"/>
      <c r="AE167" s="602"/>
      <c r="AF167" s="602"/>
      <c r="AG167" s="602"/>
      <c r="AH167" s="602"/>
    </row>
    <row r="168" spans="1:35" ht="58.8" customHeight="1" thickBot="1" x14ac:dyDescent="0.4">
      <c r="A168" s="184"/>
      <c r="B168" s="1319" t="s">
        <v>1751</v>
      </c>
      <c r="C168" s="1333"/>
      <c r="D168" s="267"/>
      <c r="E168" s="268">
        <v>1</v>
      </c>
      <c r="F168" s="262"/>
      <c r="G168" s="192"/>
      <c r="H168" s="192"/>
      <c r="I168" s="198"/>
      <c r="J168" s="198">
        <f>+AVERAGE(J169:J171)</f>
        <v>0.16666666666666666</v>
      </c>
      <c r="K168" s="198"/>
      <c r="L168" s="198">
        <f>+L169+L170+L171</f>
        <v>0</v>
      </c>
      <c r="M168" s="197"/>
      <c r="N168" s="197"/>
      <c r="O168" s="197"/>
      <c r="P168" s="197"/>
      <c r="Q168" s="197"/>
      <c r="R168" s="1218"/>
      <c r="S168" s="199"/>
      <c r="T168" s="197"/>
      <c r="U168" s="200"/>
      <c r="V168" s="221">
        <f>+AVERAGE(V169:V171)</f>
        <v>0.90000000000000013</v>
      </c>
      <c r="W168" s="221"/>
      <c r="X168" s="221">
        <f>+(X169+X170+X171)*E168</f>
        <v>0.18000000000000005</v>
      </c>
      <c r="Y168" s="198"/>
      <c r="Z168" s="258">
        <f>+Z169*0.33</f>
        <v>0.14850000000000002</v>
      </c>
      <c r="AA168" s="258"/>
      <c r="AB168" s="258">
        <f>+(AB169+AB170+AB171)</f>
        <v>9.0000000000000024E-2</v>
      </c>
      <c r="AC168" s="1106"/>
      <c r="AD168" s="602"/>
      <c r="AE168" s="602"/>
      <c r="AF168" s="602"/>
      <c r="AG168" s="602"/>
      <c r="AH168" s="602"/>
    </row>
    <row r="169" spans="1:35" ht="79.8" customHeight="1" thickBot="1" x14ac:dyDescent="0.4">
      <c r="A169" s="184"/>
      <c r="B169" s="1012" t="s">
        <v>951</v>
      </c>
      <c r="C169" s="1013" t="s">
        <v>1387</v>
      </c>
      <c r="D169" s="260" t="s">
        <v>560</v>
      </c>
      <c r="E169" s="264">
        <v>0.2</v>
      </c>
      <c r="F169" s="262">
        <v>1</v>
      </c>
      <c r="G169" s="199">
        <v>0</v>
      </c>
      <c r="H169" s="199">
        <v>0.5</v>
      </c>
      <c r="I169" s="205"/>
      <c r="J169" s="205">
        <f t="shared" ref="J169:J170" si="75">+H169/F169</f>
        <v>0.5</v>
      </c>
      <c r="K169" s="205"/>
      <c r="L169" s="205"/>
      <c r="M169" s="205"/>
      <c r="N169" s="614"/>
      <c r="O169" s="608">
        <v>0.1</v>
      </c>
      <c r="P169" s="608">
        <v>0.1</v>
      </c>
      <c r="Q169" s="608">
        <v>0.1</v>
      </c>
      <c r="R169" s="608">
        <v>0.15</v>
      </c>
      <c r="S169" s="235">
        <f t="shared" si="46"/>
        <v>0.45000000000000007</v>
      </c>
      <c r="T169" s="235">
        <f>+S169+M169</f>
        <v>0.45000000000000007</v>
      </c>
      <c r="U169" s="205"/>
      <c r="V169" s="223">
        <f>+S169/H169</f>
        <v>0.90000000000000013</v>
      </c>
      <c r="W169" s="205"/>
      <c r="X169" s="205">
        <f>+V169*E169</f>
        <v>0.18000000000000005</v>
      </c>
      <c r="Y169" s="223"/>
      <c r="Z169" s="223">
        <f>+T169/F169</f>
        <v>0.45000000000000007</v>
      </c>
      <c r="AA169" s="266"/>
      <c r="AB169" s="266">
        <f>+Z169*E169</f>
        <v>9.0000000000000024E-2</v>
      </c>
      <c r="AC169" s="725" t="s">
        <v>1852</v>
      </c>
      <c r="AD169" s="641" t="s">
        <v>1893</v>
      </c>
      <c r="AE169" s="602"/>
      <c r="AF169" s="642" t="s">
        <v>2296</v>
      </c>
      <c r="AG169" s="642" t="s">
        <v>2385</v>
      </c>
      <c r="AH169" s="908"/>
      <c r="AI169" s="642" t="s">
        <v>2567</v>
      </c>
    </row>
    <row r="170" spans="1:35" ht="79.8" customHeight="1" thickBot="1" x14ac:dyDescent="0.4">
      <c r="A170" s="184"/>
      <c r="B170" s="1032" t="s">
        <v>952</v>
      </c>
      <c r="C170" s="1241" t="s">
        <v>1388</v>
      </c>
      <c r="D170" s="260" t="s">
        <v>953</v>
      </c>
      <c r="E170" s="264">
        <v>0.2</v>
      </c>
      <c r="F170" s="262">
        <v>1</v>
      </c>
      <c r="G170" s="199">
        <v>0</v>
      </c>
      <c r="H170" s="199">
        <v>0</v>
      </c>
      <c r="I170" s="205"/>
      <c r="J170" s="205">
        <f t="shared" si="75"/>
        <v>0</v>
      </c>
      <c r="K170" s="205"/>
      <c r="L170" s="205"/>
      <c r="M170" s="205"/>
      <c r="N170" s="614"/>
      <c r="O170" s="614"/>
      <c r="P170" s="1036"/>
      <c r="Q170" s="614"/>
      <c r="R170" s="614"/>
      <c r="S170" s="205">
        <f t="shared" si="46"/>
        <v>0</v>
      </c>
      <c r="T170" s="205">
        <f>+S170+M170</f>
        <v>0</v>
      </c>
      <c r="U170" s="205"/>
      <c r="V170" s="223"/>
      <c r="W170" s="205"/>
      <c r="X170" s="205">
        <f>+V170*E170</f>
        <v>0</v>
      </c>
      <c r="Y170" s="223"/>
      <c r="Z170" s="266"/>
      <c r="AA170" s="266"/>
      <c r="AB170" s="266">
        <f>+Z170*E170</f>
        <v>0</v>
      </c>
      <c r="AC170" s="725" t="s">
        <v>1852</v>
      </c>
      <c r="AD170" s="641" t="s">
        <v>1893</v>
      </c>
      <c r="AE170" s="602"/>
      <c r="AF170" s="642" t="s">
        <v>2296</v>
      </c>
      <c r="AG170" s="642" t="s">
        <v>2413</v>
      </c>
      <c r="AH170" s="908"/>
      <c r="AI170" s="642" t="s">
        <v>2567</v>
      </c>
    </row>
    <row r="171" spans="1:35" ht="90" customHeight="1" thickBot="1" x14ac:dyDescent="0.4">
      <c r="A171" s="184"/>
      <c r="B171" s="930" t="s">
        <v>954</v>
      </c>
      <c r="C171" s="931" t="s">
        <v>1389</v>
      </c>
      <c r="D171" s="276" t="s">
        <v>1872</v>
      </c>
      <c r="E171" s="927">
        <v>0.6</v>
      </c>
      <c r="F171" s="262">
        <v>1</v>
      </c>
      <c r="G171" s="199">
        <v>0</v>
      </c>
      <c r="H171" s="199">
        <v>0</v>
      </c>
      <c r="I171" s="205"/>
      <c r="J171" s="205">
        <f>+H171/F171</f>
        <v>0</v>
      </c>
      <c r="K171" s="205"/>
      <c r="L171" s="205"/>
      <c r="M171" s="199"/>
      <c r="N171" s="608"/>
      <c r="O171" s="199"/>
      <c r="P171" s="199"/>
      <c r="Q171" s="199"/>
      <c r="R171" s="272"/>
      <c r="S171" s="199">
        <f t="shared" ref="S171" si="76">+N171+O171+P171+Q171+R171</f>
        <v>0</v>
      </c>
      <c r="T171" s="199">
        <f>+S171+M171</f>
        <v>0</v>
      </c>
      <c r="U171" s="205"/>
      <c r="V171" s="205"/>
      <c r="W171" s="205"/>
      <c r="X171" s="205"/>
      <c r="Y171" s="205"/>
      <c r="Z171" s="205"/>
      <c r="AA171" s="205"/>
      <c r="AB171" s="205">
        <f>+Z171*E171</f>
        <v>0</v>
      </c>
      <c r="AC171" s="1110" t="s">
        <v>1574</v>
      </c>
      <c r="AD171" s="719" t="s">
        <v>1977</v>
      </c>
      <c r="AE171" s="602"/>
      <c r="AF171" s="644" t="s">
        <v>2319</v>
      </c>
      <c r="AG171" s="602"/>
      <c r="AH171" s="908"/>
    </row>
    <row r="172" spans="1:35" ht="15.75" customHeight="1" thickBot="1" x14ac:dyDescent="0.4">
      <c r="A172" s="180"/>
      <c r="B172" s="238"/>
      <c r="C172" s="238"/>
      <c r="D172" s="238"/>
      <c r="E172" s="238"/>
      <c r="F172" s="238"/>
      <c r="G172" s="238"/>
      <c r="H172" s="238"/>
      <c r="I172" s="238"/>
      <c r="J172" s="238"/>
      <c r="K172" s="238"/>
      <c r="L172" s="238"/>
      <c r="M172" s="238"/>
      <c r="N172" s="238"/>
      <c r="O172" s="238"/>
      <c r="P172" s="238"/>
      <c r="Q172" s="238"/>
      <c r="R172" s="1222"/>
      <c r="S172" s="238"/>
      <c r="T172" s="238"/>
      <c r="U172" s="238"/>
      <c r="V172" s="238"/>
      <c r="W172" s="238"/>
      <c r="X172" s="238"/>
      <c r="Y172" s="238"/>
      <c r="Z172" s="293"/>
      <c r="AA172" s="293"/>
      <c r="AB172" s="293"/>
      <c r="AC172" s="293"/>
    </row>
    <row r="173" spans="1:35" ht="15.75" customHeight="1" thickBot="1" x14ac:dyDescent="0.4">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4"/>
      <c r="AA173" s="184"/>
      <c r="AB173" s="184"/>
      <c r="AC173" s="184"/>
    </row>
    <row r="174" spans="1:35" ht="15.75" customHeight="1" thickBot="1" x14ac:dyDescent="0.4">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4"/>
      <c r="AA174" s="184"/>
      <c r="AB174" s="184"/>
      <c r="AC174" s="184"/>
    </row>
    <row r="175" spans="1:35" ht="15.75" customHeight="1" thickBot="1" x14ac:dyDescent="0.4">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4"/>
      <c r="AA175" s="184"/>
      <c r="AB175" s="184"/>
      <c r="AC175" s="184"/>
    </row>
    <row r="176" spans="1:35" ht="15.75" customHeight="1" thickBot="1" x14ac:dyDescent="0.4">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4"/>
      <c r="AA176" s="184"/>
      <c r="AB176" s="184"/>
      <c r="AC176" s="184"/>
    </row>
    <row r="177" spans="1:29" ht="15.75" customHeight="1" thickBot="1" x14ac:dyDescent="0.4">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4"/>
      <c r="AA177" s="184"/>
      <c r="AB177" s="184"/>
      <c r="AC177" s="184"/>
    </row>
    <row r="178" spans="1:29" ht="15.75" customHeight="1" thickBot="1" x14ac:dyDescent="0.4">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4"/>
      <c r="AA178" s="184"/>
      <c r="AB178" s="184"/>
      <c r="AC178" s="184"/>
    </row>
    <row r="179" spans="1:29" ht="15.75" customHeight="1" thickBot="1" x14ac:dyDescent="0.4">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4"/>
      <c r="AA179" s="184"/>
      <c r="AB179" s="184"/>
      <c r="AC179" s="184"/>
    </row>
    <row r="180" spans="1:29" ht="15.75" customHeight="1" thickBot="1" x14ac:dyDescent="0.4">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4"/>
      <c r="AA180" s="184"/>
      <c r="AB180" s="184"/>
      <c r="AC180" s="184"/>
    </row>
    <row r="181" spans="1:29" ht="15.75" customHeight="1" thickBot="1" x14ac:dyDescent="0.4">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4"/>
      <c r="AA181" s="184"/>
      <c r="AB181" s="184"/>
      <c r="AC181" s="184"/>
    </row>
    <row r="182" spans="1:29" ht="15.75" customHeight="1" thickBot="1" x14ac:dyDescent="0.4">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4"/>
      <c r="AA182" s="184"/>
      <c r="AB182" s="184"/>
      <c r="AC182" s="184"/>
    </row>
    <row r="183" spans="1:29" ht="15.75" customHeight="1" thickBot="1" x14ac:dyDescent="0.4">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4"/>
      <c r="AA183" s="184"/>
      <c r="AB183" s="184"/>
      <c r="AC183" s="184"/>
    </row>
    <row r="184" spans="1:29" ht="15.75" customHeight="1" thickBot="1" x14ac:dyDescent="0.4">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4"/>
      <c r="AA184" s="184"/>
      <c r="AB184" s="184"/>
      <c r="AC184" s="184"/>
    </row>
    <row r="185" spans="1:29" ht="15.75" customHeight="1" thickBot="1" x14ac:dyDescent="0.4">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4"/>
      <c r="AA185" s="184"/>
      <c r="AB185" s="184"/>
      <c r="AC185" s="184"/>
    </row>
    <row r="186" spans="1:29" ht="15.75" customHeight="1" thickBot="1" x14ac:dyDescent="0.4">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4"/>
      <c r="AA186" s="184"/>
      <c r="AB186" s="184"/>
      <c r="AC186" s="184"/>
    </row>
    <row r="187" spans="1:29" ht="15.75" customHeight="1" thickBot="1" x14ac:dyDescent="0.4">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4"/>
      <c r="AA187" s="184"/>
      <c r="AB187" s="184"/>
      <c r="AC187" s="184"/>
    </row>
    <row r="188" spans="1:29" ht="15.75" customHeight="1" thickBot="1" x14ac:dyDescent="0.4">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4"/>
      <c r="AA188" s="184"/>
      <c r="AB188" s="184"/>
      <c r="AC188" s="184"/>
    </row>
    <row r="189" spans="1:29" ht="15.75" customHeight="1" thickBot="1" x14ac:dyDescent="0.4">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4"/>
      <c r="AA189" s="184"/>
      <c r="AB189" s="184"/>
      <c r="AC189" s="184"/>
    </row>
    <row r="190" spans="1:29" ht="15.75" customHeight="1" thickBot="1" x14ac:dyDescent="0.4">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4"/>
      <c r="AA190" s="184"/>
      <c r="AB190" s="184"/>
      <c r="AC190" s="184"/>
    </row>
    <row r="191" spans="1:29" ht="15.75" customHeight="1" thickBot="1" x14ac:dyDescent="0.4">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4"/>
      <c r="AA191" s="184"/>
      <c r="AB191" s="184"/>
      <c r="AC191" s="184"/>
    </row>
    <row r="192" spans="1:29" ht="15.75" customHeight="1" thickBot="1" x14ac:dyDescent="0.4">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4"/>
      <c r="AA192" s="184"/>
      <c r="AB192" s="184"/>
      <c r="AC192" s="184"/>
    </row>
    <row r="193" spans="1:29" ht="15.75" customHeight="1" thickBot="1" x14ac:dyDescent="0.4">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4"/>
      <c r="AA193" s="184"/>
      <c r="AB193" s="184"/>
      <c r="AC193" s="184"/>
    </row>
    <row r="194" spans="1:29" ht="15.75" customHeight="1" thickBot="1" x14ac:dyDescent="0.4">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4"/>
      <c r="AA194" s="184"/>
      <c r="AB194" s="184"/>
      <c r="AC194" s="184"/>
    </row>
    <row r="195" spans="1:29" ht="15.75" customHeight="1" thickBot="1" x14ac:dyDescent="0.4">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4"/>
      <c r="AA195" s="184"/>
      <c r="AB195" s="184"/>
      <c r="AC195" s="184"/>
    </row>
    <row r="196" spans="1:29" ht="15.75" customHeight="1" thickBot="1" x14ac:dyDescent="0.4">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4"/>
      <c r="AA196" s="184"/>
      <c r="AB196" s="184"/>
      <c r="AC196" s="184"/>
    </row>
    <row r="197" spans="1:29" ht="15.75" customHeight="1" thickBot="1" x14ac:dyDescent="0.4">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4"/>
      <c r="AA197" s="184"/>
      <c r="AB197" s="184"/>
      <c r="AC197" s="184"/>
    </row>
    <row r="198" spans="1:29" ht="15.75" customHeight="1" thickBot="1" x14ac:dyDescent="0.4">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4"/>
      <c r="AA198" s="184"/>
      <c r="AB198" s="184"/>
      <c r="AC198" s="184"/>
    </row>
    <row r="199" spans="1:29" ht="15.75" customHeight="1" thickBot="1" x14ac:dyDescent="0.4">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4"/>
      <c r="AA199" s="184"/>
      <c r="AB199" s="184"/>
      <c r="AC199" s="184"/>
    </row>
    <row r="200" spans="1:29" ht="15.75" customHeight="1" thickBot="1" x14ac:dyDescent="0.4">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4"/>
      <c r="AA200" s="184"/>
      <c r="AB200" s="184"/>
      <c r="AC200" s="184"/>
    </row>
    <row r="201" spans="1:29" ht="15.75" customHeight="1" thickBot="1" x14ac:dyDescent="0.4">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4"/>
      <c r="AA201" s="184"/>
      <c r="AB201" s="184"/>
      <c r="AC201" s="184"/>
    </row>
    <row r="202" spans="1:29" ht="15.75" customHeight="1" thickBot="1" x14ac:dyDescent="0.4">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4"/>
      <c r="AA202" s="184"/>
      <c r="AB202" s="184"/>
      <c r="AC202" s="184"/>
    </row>
    <row r="203" spans="1:29" ht="15.75" customHeight="1" thickBot="1" x14ac:dyDescent="0.4">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4"/>
      <c r="AA203" s="184"/>
      <c r="AB203" s="184"/>
      <c r="AC203" s="184"/>
    </row>
    <row r="204" spans="1:29" ht="15.75" customHeight="1" thickBot="1" x14ac:dyDescent="0.4">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4"/>
      <c r="AA204" s="184"/>
      <c r="AB204" s="184"/>
      <c r="AC204" s="184"/>
    </row>
    <row r="205" spans="1:29" ht="15.75" customHeight="1" thickBot="1" x14ac:dyDescent="0.4">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4"/>
      <c r="AA205" s="184"/>
      <c r="AB205" s="184"/>
      <c r="AC205" s="184"/>
    </row>
    <row r="206" spans="1:29" ht="15.75" customHeight="1" thickBot="1" x14ac:dyDescent="0.4">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4"/>
      <c r="AA206" s="184"/>
      <c r="AB206" s="184"/>
      <c r="AC206" s="184"/>
    </row>
    <row r="207" spans="1:29" ht="15.75" customHeight="1" thickBot="1" x14ac:dyDescent="0.4">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4"/>
      <c r="AA207" s="184"/>
      <c r="AB207" s="184"/>
      <c r="AC207" s="184"/>
    </row>
    <row r="208" spans="1:29" ht="15.75" customHeight="1" thickBot="1" x14ac:dyDescent="0.4">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4"/>
      <c r="AA208" s="184"/>
      <c r="AB208" s="184"/>
      <c r="AC208" s="184"/>
    </row>
    <row r="209" spans="1:29" ht="15.75" customHeight="1" thickBot="1" x14ac:dyDescent="0.4">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4"/>
      <c r="AA209" s="184"/>
      <c r="AB209" s="184"/>
      <c r="AC209" s="184"/>
    </row>
    <row r="210" spans="1:29" ht="15.75" customHeight="1" thickBot="1" x14ac:dyDescent="0.4">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4"/>
      <c r="AA210" s="184"/>
      <c r="AB210" s="184"/>
      <c r="AC210" s="184"/>
    </row>
    <row r="211" spans="1:29" ht="15.75" customHeight="1" thickBot="1" x14ac:dyDescent="0.4">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4"/>
      <c r="AA211" s="184"/>
      <c r="AB211" s="184"/>
      <c r="AC211" s="184"/>
    </row>
    <row r="212" spans="1:29" ht="15.75" customHeight="1" thickBot="1" x14ac:dyDescent="0.4">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4"/>
      <c r="AA212" s="184"/>
      <c r="AB212" s="184"/>
      <c r="AC212" s="184"/>
    </row>
    <row r="213" spans="1:29" ht="15.75" customHeight="1" thickBot="1" x14ac:dyDescent="0.4">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4"/>
      <c r="AA213" s="184"/>
      <c r="AB213" s="184"/>
      <c r="AC213" s="184"/>
    </row>
    <row r="214" spans="1:29" ht="15.75" customHeight="1" thickBot="1" x14ac:dyDescent="0.4">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4"/>
      <c r="AA214" s="184"/>
      <c r="AB214" s="184"/>
      <c r="AC214" s="184"/>
    </row>
    <row r="215" spans="1:29" ht="15.75" customHeight="1" thickBot="1" x14ac:dyDescent="0.4">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4"/>
      <c r="AA215" s="184"/>
      <c r="AB215" s="184"/>
      <c r="AC215" s="184"/>
    </row>
    <row r="216" spans="1:29" ht="15.75" customHeight="1" thickBot="1" x14ac:dyDescent="0.4">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4"/>
      <c r="AA216" s="184"/>
      <c r="AB216" s="184"/>
      <c r="AC216" s="184"/>
    </row>
    <row r="217" spans="1:29" ht="15.75" customHeight="1" thickBot="1" x14ac:dyDescent="0.4">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4"/>
      <c r="AA217" s="184"/>
      <c r="AB217" s="680"/>
      <c r="AC217" s="251"/>
    </row>
    <row r="218" spans="1:29" ht="15.75" customHeight="1" thickBot="1" x14ac:dyDescent="0.4">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4"/>
      <c r="AA218" s="184"/>
      <c r="AB218" s="680"/>
      <c r="AC218" s="251"/>
    </row>
    <row r="219" spans="1:29" ht="15.75" customHeight="1" thickBot="1" x14ac:dyDescent="0.4">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4"/>
      <c r="AA219" s="184"/>
      <c r="AB219" s="680"/>
      <c r="AC219" s="251"/>
    </row>
    <row r="220" spans="1:29" ht="15.75" customHeight="1" thickBot="1" x14ac:dyDescent="0.4">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4"/>
      <c r="AA220" s="184"/>
      <c r="AB220" s="680"/>
      <c r="AC220" s="251"/>
    </row>
    <row r="221" spans="1:29" ht="15.75" customHeight="1" thickBot="1" x14ac:dyDescent="0.4">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4"/>
      <c r="AA221" s="184"/>
      <c r="AB221" s="680"/>
      <c r="AC221" s="251"/>
    </row>
    <row r="222" spans="1:29" ht="15.75" customHeight="1" thickBot="1" x14ac:dyDescent="0.4">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4"/>
      <c r="AA222" s="184"/>
      <c r="AB222" s="680"/>
      <c r="AC222" s="251"/>
    </row>
    <row r="223" spans="1:29" ht="15.75" customHeight="1" thickBot="1" x14ac:dyDescent="0.4">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4"/>
      <c r="AA223" s="184"/>
      <c r="AB223" s="680"/>
      <c r="AC223" s="251"/>
    </row>
    <row r="224" spans="1:29" ht="15.75" customHeight="1" thickBot="1" x14ac:dyDescent="0.4">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4"/>
      <c r="AA224" s="184"/>
      <c r="AB224" s="680"/>
      <c r="AC224" s="251"/>
    </row>
    <row r="225" spans="1:29" ht="15.75" customHeight="1" thickBot="1" x14ac:dyDescent="0.4">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4"/>
      <c r="AA225" s="184"/>
      <c r="AB225" s="680"/>
      <c r="AC225" s="251"/>
    </row>
    <row r="226" spans="1:29" ht="15.75" customHeight="1" thickBot="1" x14ac:dyDescent="0.4">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4"/>
      <c r="AA226" s="184"/>
      <c r="AB226" s="680"/>
      <c r="AC226" s="251"/>
    </row>
    <row r="227" spans="1:29" ht="15.75" customHeight="1" thickBot="1" x14ac:dyDescent="0.4">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4"/>
      <c r="AA227" s="184"/>
      <c r="AB227" s="680"/>
      <c r="AC227" s="251"/>
    </row>
    <row r="228" spans="1:29" ht="15.75" customHeight="1" thickBot="1" x14ac:dyDescent="0.4">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4"/>
      <c r="AA228" s="184"/>
      <c r="AB228" s="680"/>
      <c r="AC228" s="251"/>
    </row>
    <row r="229" spans="1:29" ht="15.75" customHeight="1" thickBot="1" x14ac:dyDescent="0.4">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4"/>
      <c r="AA229" s="184"/>
      <c r="AB229" s="680"/>
      <c r="AC229" s="251"/>
    </row>
    <row r="230" spans="1:29" ht="15.75" customHeight="1" thickBot="1" x14ac:dyDescent="0.4">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4"/>
      <c r="AA230" s="184"/>
      <c r="AB230" s="680"/>
      <c r="AC230" s="251"/>
    </row>
    <row r="231" spans="1:29" ht="15.75" customHeight="1" thickBot="1" x14ac:dyDescent="0.4">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4"/>
      <c r="AA231" s="184"/>
      <c r="AB231" s="680"/>
      <c r="AC231" s="251"/>
    </row>
    <row r="232" spans="1:29" ht="15.75" customHeight="1" thickBot="1" x14ac:dyDescent="0.4">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4"/>
      <c r="AA232" s="184"/>
      <c r="AB232" s="680"/>
      <c r="AC232" s="251"/>
    </row>
    <row r="233" spans="1:29" ht="15.75" customHeight="1" thickBot="1" x14ac:dyDescent="0.4">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4"/>
      <c r="AA233" s="184"/>
      <c r="AB233" s="680"/>
      <c r="AC233" s="251"/>
    </row>
    <row r="234" spans="1:29" ht="15.75" customHeight="1" thickBot="1" x14ac:dyDescent="0.4">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4"/>
      <c r="AA234" s="184"/>
      <c r="AB234" s="680"/>
      <c r="AC234" s="251"/>
    </row>
    <row r="235" spans="1:29" ht="15.75" customHeight="1" thickBot="1" x14ac:dyDescent="0.4">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4"/>
      <c r="AA235" s="184"/>
      <c r="AB235" s="680"/>
      <c r="AC235" s="251"/>
    </row>
    <row r="236" spans="1:29" ht="15.75" customHeight="1" thickBot="1" x14ac:dyDescent="0.4">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4"/>
      <c r="AA236" s="184"/>
      <c r="AB236" s="680"/>
      <c r="AC236" s="251"/>
    </row>
    <row r="237" spans="1:29" ht="15.75" customHeight="1" thickBot="1" x14ac:dyDescent="0.4">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4"/>
      <c r="AA237" s="184"/>
      <c r="AB237" s="680"/>
      <c r="AC237" s="251"/>
    </row>
    <row r="238" spans="1:29" ht="15.75" customHeight="1" thickBot="1" x14ac:dyDescent="0.4">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4"/>
      <c r="AA238" s="184"/>
      <c r="AB238" s="680"/>
      <c r="AC238" s="251"/>
    </row>
    <row r="239" spans="1:29" ht="15.75" customHeight="1" thickBot="1" x14ac:dyDescent="0.4">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4"/>
      <c r="AA239" s="184"/>
      <c r="AB239" s="680"/>
      <c r="AC239" s="251"/>
    </row>
    <row r="240" spans="1:29" ht="15.75" customHeight="1" thickBot="1" x14ac:dyDescent="0.4">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4"/>
      <c r="AA240" s="184"/>
      <c r="AB240" s="680"/>
      <c r="AC240" s="251"/>
    </row>
    <row r="241" spans="1:29" ht="15.75" customHeight="1" thickBot="1" x14ac:dyDescent="0.4">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4"/>
      <c r="AA241" s="184"/>
      <c r="AB241" s="680"/>
      <c r="AC241" s="251"/>
    </row>
    <row r="242" spans="1:29" ht="15.75" customHeight="1" thickBot="1" x14ac:dyDescent="0.4">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4"/>
      <c r="AA242" s="184"/>
      <c r="AB242" s="680"/>
      <c r="AC242" s="251"/>
    </row>
    <row r="243" spans="1:29" ht="15.75" customHeight="1" thickBot="1" x14ac:dyDescent="0.4">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4"/>
      <c r="AA243" s="184"/>
      <c r="AB243" s="680"/>
      <c r="AC243" s="251"/>
    </row>
    <row r="244" spans="1:29" ht="15.75" customHeight="1" thickBot="1" x14ac:dyDescent="0.4">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4"/>
      <c r="AA244" s="184"/>
      <c r="AB244" s="680"/>
      <c r="AC244" s="251"/>
    </row>
    <row r="245" spans="1:29" ht="15.75" customHeight="1" thickBot="1" x14ac:dyDescent="0.4">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4"/>
      <c r="AA245" s="184"/>
      <c r="AB245" s="680"/>
      <c r="AC245" s="251"/>
    </row>
    <row r="246" spans="1:29" ht="15.75" customHeight="1" thickBot="1" x14ac:dyDescent="0.4">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4"/>
      <c r="AA246" s="184"/>
      <c r="AB246" s="680"/>
      <c r="AC246" s="251"/>
    </row>
    <row r="247" spans="1:29" ht="15.75" customHeight="1" thickBot="1" x14ac:dyDescent="0.4">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4"/>
      <c r="AA247" s="184"/>
      <c r="AB247" s="680"/>
      <c r="AC247" s="251"/>
    </row>
    <row r="248" spans="1:29" ht="15.75" customHeight="1" thickBot="1" x14ac:dyDescent="0.4">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4"/>
      <c r="AA248" s="184"/>
      <c r="AB248" s="680"/>
      <c r="AC248" s="251"/>
    </row>
    <row r="249" spans="1:29" ht="15.75" customHeight="1" thickBot="1" x14ac:dyDescent="0.4">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4"/>
      <c r="AA249" s="184"/>
      <c r="AB249" s="680"/>
      <c r="AC249" s="251"/>
    </row>
    <row r="250" spans="1:29" ht="15.75" customHeight="1" thickBot="1" x14ac:dyDescent="0.4">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4"/>
      <c r="AA250" s="184"/>
      <c r="AB250" s="680"/>
      <c r="AC250" s="251"/>
    </row>
    <row r="251" spans="1:29" ht="15.75" customHeight="1" thickBot="1" x14ac:dyDescent="0.4">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4"/>
      <c r="AA251" s="184"/>
      <c r="AB251" s="680"/>
      <c r="AC251" s="251"/>
    </row>
    <row r="252" spans="1:29" ht="15.75" customHeight="1" thickBot="1" x14ac:dyDescent="0.4">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4"/>
      <c r="AA252" s="184"/>
      <c r="AB252" s="680"/>
      <c r="AC252" s="251"/>
    </row>
    <row r="253" spans="1:29" ht="15.75" customHeight="1" thickBot="1" x14ac:dyDescent="0.4">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4"/>
      <c r="AA253" s="184"/>
      <c r="AB253" s="680"/>
      <c r="AC253" s="251"/>
    </row>
    <row r="254" spans="1:29" ht="15.75" customHeight="1" thickBot="1" x14ac:dyDescent="0.4">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4"/>
      <c r="AA254" s="184"/>
      <c r="AB254" s="680"/>
      <c r="AC254" s="251"/>
    </row>
    <row r="255" spans="1:29" ht="15.75" customHeight="1" thickBot="1" x14ac:dyDescent="0.4">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4"/>
      <c r="AA255" s="184"/>
      <c r="AB255" s="680"/>
      <c r="AC255" s="251"/>
    </row>
    <row r="256" spans="1:29" ht="15.75" customHeight="1" thickBot="1" x14ac:dyDescent="0.4">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4"/>
      <c r="AA256" s="184"/>
      <c r="AB256" s="680"/>
      <c r="AC256" s="251"/>
    </row>
    <row r="257" spans="1:29" ht="15.75" customHeight="1" thickBot="1" x14ac:dyDescent="0.4">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4"/>
      <c r="AA257" s="184"/>
      <c r="AB257" s="680"/>
      <c r="AC257" s="251"/>
    </row>
    <row r="258" spans="1:29" ht="15.75" customHeight="1" thickBot="1" x14ac:dyDescent="0.4">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4"/>
      <c r="AA258" s="184"/>
      <c r="AB258" s="680"/>
      <c r="AC258" s="251"/>
    </row>
    <row r="259" spans="1:29" ht="15.75" customHeight="1" thickBot="1" x14ac:dyDescent="0.4">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4"/>
      <c r="AA259" s="184"/>
      <c r="AB259" s="680"/>
      <c r="AC259" s="251"/>
    </row>
    <row r="260" spans="1:29" ht="15.75" customHeight="1" thickBot="1" x14ac:dyDescent="0.4">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4"/>
      <c r="AA260" s="184"/>
      <c r="AB260" s="680"/>
      <c r="AC260" s="251"/>
    </row>
    <row r="261" spans="1:29" ht="15.75" customHeight="1" thickBot="1" x14ac:dyDescent="0.4">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4"/>
      <c r="AA261" s="184"/>
      <c r="AB261" s="680"/>
      <c r="AC261" s="251"/>
    </row>
    <row r="262" spans="1:29" ht="15.75" customHeight="1" thickBot="1" x14ac:dyDescent="0.4">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4"/>
      <c r="AA262" s="184"/>
      <c r="AB262" s="680"/>
      <c r="AC262" s="251"/>
    </row>
    <row r="263" spans="1:29" ht="15.75" customHeight="1" thickBot="1" x14ac:dyDescent="0.4">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4"/>
      <c r="AA263" s="184"/>
      <c r="AB263" s="680"/>
      <c r="AC263" s="251"/>
    </row>
    <row r="264" spans="1:29" ht="15.75" customHeight="1" thickBot="1" x14ac:dyDescent="0.4">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4"/>
      <c r="AA264" s="184"/>
      <c r="AB264" s="680"/>
      <c r="AC264" s="251"/>
    </row>
    <row r="265" spans="1:29" ht="15.75" customHeight="1" thickBot="1" x14ac:dyDescent="0.4">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4"/>
      <c r="AA265" s="184"/>
      <c r="AB265" s="680"/>
      <c r="AC265" s="251"/>
    </row>
    <row r="266" spans="1:29" ht="15.75" customHeight="1" thickBot="1" x14ac:dyDescent="0.4">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4"/>
      <c r="AA266" s="184"/>
      <c r="AB266" s="680"/>
      <c r="AC266" s="251"/>
    </row>
    <row r="267" spans="1:29" ht="15.75" customHeight="1" thickBot="1" x14ac:dyDescent="0.4">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4"/>
      <c r="AA267" s="184"/>
      <c r="AB267" s="680"/>
      <c r="AC267" s="251"/>
    </row>
    <row r="268" spans="1:29" ht="15.75" customHeight="1" thickBot="1" x14ac:dyDescent="0.4">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4"/>
      <c r="AA268" s="184"/>
      <c r="AB268" s="680"/>
      <c r="AC268" s="251"/>
    </row>
    <row r="269" spans="1:29" ht="15.75" customHeight="1" thickBot="1" x14ac:dyDescent="0.4">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4"/>
      <c r="AA269" s="184"/>
      <c r="AB269" s="680"/>
      <c r="AC269" s="251"/>
    </row>
    <row r="270" spans="1:29" ht="15.75" customHeight="1" thickBot="1" x14ac:dyDescent="0.4">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4"/>
      <c r="AA270" s="184"/>
      <c r="AB270" s="680"/>
      <c r="AC270" s="251"/>
    </row>
    <row r="271" spans="1:29" ht="15.75" customHeight="1" thickBot="1" x14ac:dyDescent="0.4">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4"/>
      <c r="AA271" s="184"/>
      <c r="AB271" s="680"/>
      <c r="AC271" s="251"/>
    </row>
    <row r="272" spans="1:29" ht="15.75" customHeight="1" thickBot="1" x14ac:dyDescent="0.4">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4"/>
      <c r="AA272" s="184"/>
      <c r="AB272" s="680"/>
      <c r="AC272" s="251"/>
    </row>
    <row r="273" spans="1:29" ht="15.75" customHeight="1" thickBot="1" x14ac:dyDescent="0.4">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4"/>
      <c r="AA273" s="184"/>
      <c r="AB273" s="680"/>
      <c r="AC273" s="251"/>
    </row>
    <row r="274" spans="1:29" ht="15.75" customHeight="1" thickBot="1" x14ac:dyDescent="0.4">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4"/>
      <c r="AA274" s="184"/>
      <c r="AB274" s="680"/>
      <c r="AC274" s="251"/>
    </row>
    <row r="275" spans="1:29" ht="15.75" customHeight="1" thickBot="1" x14ac:dyDescent="0.4">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4"/>
      <c r="AA275" s="184"/>
      <c r="AB275" s="680"/>
      <c r="AC275" s="251"/>
    </row>
    <row r="276" spans="1:29" ht="15.75" customHeight="1" thickBot="1" x14ac:dyDescent="0.4">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4"/>
      <c r="AA276" s="184"/>
      <c r="AB276" s="680"/>
      <c r="AC276" s="251"/>
    </row>
    <row r="277" spans="1:29" ht="15.75" customHeight="1" thickBot="1" x14ac:dyDescent="0.4">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4"/>
      <c r="AA277" s="184"/>
      <c r="AB277" s="680"/>
      <c r="AC277" s="251"/>
    </row>
    <row r="278" spans="1:29" ht="15.75" customHeight="1" thickBot="1" x14ac:dyDescent="0.4">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4"/>
      <c r="AA278" s="184"/>
      <c r="AB278" s="680"/>
      <c r="AC278" s="251"/>
    </row>
    <row r="279" spans="1:29" ht="15.75" customHeight="1" thickBot="1" x14ac:dyDescent="0.4">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4"/>
      <c r="AA279" s="184"/>
      <c r="AB279" s="680"/>
      <c r="AC279" s="251"/>
    </row>
    <row r="280" spans="1:29" ht="15.75" customHeight="1" thickBot="1" x14ac:dyDescent="0.4">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4"/>
      <c r="AA280" s="184"/>
      <c r="AB280" s="680"/>
      <c r="AC280" s="251"/>
    </row>
    <row r="281" spans="1:29" ht="15.75" customHeight="1" thickBot="1" x14ac:dyDescent="0.4">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4"/>
      <c r="AA281" s="184"/>
      <c r="AB281" s="680"/>
      <c r="AC281" s="251"/>
    </row>
    <row r="282" spans="1:29" ht="15.75" customHeight="1" thickBot="1" x14ac:dyDescent="0.4">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4"/>
      <c r="AA282" s="184"/>
      <c r="AB282" s="680"/>
      <c r="AC282" s="251"/>
    </row>
    <row r="283" spans="1:29" ht="15.75" customHeight="1" thickBot="1" x14ac:dyDescent="0.4">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4"/>
      <c r="AA283" s="184"/>
      <c r="AB283" s="680"/>
      <c r="AC283" s="251"/>
    </row>
    <row r="284" spans="1:29" ht="15.75" customHeight="1" thickBot="1" x14ac:dyDescent="0.4">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4"/>
      <c r="AA284" s="184"/>
      <c r="AB284" s="680"/>
      <c r="AC284" s="251"/>
    </row>
    <row r="285" spans="1:29" ht="15.75" customHeight="1" thickBot="1" x14ac:dyDescent="0.4">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4"/>
      <c r="AA285" s="184"/>
      <c r="AB285" s="680"/>
      <c r="AC285" s="251"/>
    </row>
    <row r="286" spans="1:29" ht="15.75" customHeight="1" thickBot="1" x14ac:dyDescent="0.4">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4"/>
      <c r="AA286" s="184"/>
      <c r="AB286" s="680"/>
      <c r="AC286" s="251"/>
    </row>
    <row r="287" spans="1:29" ht="15.75" customHeight="1" thickBot="1" x14ac:dyDescent="0.4">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4"/>
      <c r="AA287" s="184"/>
      <c r="AB287" s="680"/>
      <c r="AC287" s="251"/>
    </row>
    <row r="288" spans="1:29" ht="15.75" customHeight="1" thickBot="1" x14ac:dyDescent="0.4">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4"/>
      <c r="AA288" s="184"/>
      <c r="AB288" s="680"/>
      <c r="AC288" s="251"/>
    </row>
    <row r="289" spans="1:29" ht="15.75" customHeight="1" thickBot="1" x14ac:dyDescent="0.4">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4"/>
      <c r="AA289" s="184"/>
      <c r="AB289" s="680"/>
      <c r="AC289" s="251"/>
    </row>
    <row r="290" spans="1:29" ht="15.75" customHeight="1" thickBot="1" x14ac:dyDescent="0.4">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4"/>
      <c r="AA290" s="184"/>
      <c r="AB290" s="680"/>
      <c r="AC290" s="251"/>
    </row>
    <row r="291" spans="1:29" ht="15.75" customHeight="1" thickBot="1" x14ac:dyDescent="0.4">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4"/>
      <c r="AA291" s="184"/>
      <c r="AB291" s="680"/>
      <c r="AC291" s="251"/>
    </row>
    <row r="292" spans="1:29" ht="15.75" customHeight="1" thickBot="1" x14ac:dyDescent="0.4">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4"/>
      <c r="AA292" s="184"/>
      <c r="AB292" s="680"/>
      <c r="AC292" s="251"/>
    </row>
    <row r="293" spans="1:29" ht="15.75" customHeight="1" thickBot="1" x14ac:dyDescent="0.4">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4"/>
      <c r="AA293" s="184"/>
      <c r="AB293" s="680"/>
      <c r="AC293" s="251"/>
    </row>
    <row r="294" spans="1:29" ht="15.75" customHeight="1" thickBot="1" x14ac:dyDescent="0.4">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4"/>
      <c r="AA294" s="184"/>
      <c r="AB294" s="680"/>
      <c r="AC294" s="251"/>
    </row>
    <row r="295" spans="1:29" ht="15.75" customHeight="1" thickBot="1" x14ac:dyDescent="0.4">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4"/>
      <c r="AA295" s="184"/>
      <c r="AB295" s="680"/>
      <c r="AC295" s="251"/>
    </row>
    <row r="296" spans="1:29" ht="15.75" customHeight="1" thickBot="1" x14ac:dyDescent="0.4">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4"/>
      <c r="AA296" s="184"/>
      <c r="AB296" s="680"/>
      <c r="AC296" s="251"/>
    </row>
    <row r="297" spans="1:29" ht="15.75" customHeight="1" thickBot="1" x14ac:dyDescent="0.4">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4"/>
      <c r="AA297" s="184"/>
      <c r="AB297" s="680"/>
      <c r="AC297" s="251"/>
    </row>
    <row r="298" spans="1:29" ht="15.75" customHeight="1" thickBot="1" x14ac:dyDescent="0.4">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4"/>
      <c r="AA298" s="184"/>
      <c r="AB298" s="680"/>
      <c r="AC298" s="251"/>
    </row>
    <row r="299" spans="1:29" ht="15.75" customHeight="1" thickBot="1" x14ac:dyDescent="0.4">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4"/>
      <c r="AA299" s="184"/>
      <c r="AB299" s="680"/>
      <c r="AC299" s="251"/>
    </row>
    <row r="300" spans="1:29" ht="15.75" customHeight="1" thickBot="1" x14ac:dyDescent="0.4">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4"/>
      <c r="AA300" s="184"/>
      <c r="AB300" s="680"/>
      <c r="AC300" s="251"/>
    </row>
    <row r="301" spans="1:29" ht="15.75" customHeight="1" thickBot="1" x14ac:dyDescent="0.4">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4"/>
      <c r="AA301" s="184"/>
      <c r="AB301" s="680"/>
      <c r="AC301" s="251"/>
    </row>
    <row r="302" spans="1:29" ht="15.75" customHeight="1" thickBot="1" x14ac:dyDescent="0.4">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4"/>
      <c r="AA302" s="184"/>
      <c r="AB302" s="680"/>
      <c r="AC302" s="251"/>
    </row>
    <row r="303" spans="1:29" ht="15.75" customHeight="1" thickBot="1" x14ac:dyDescent="0.4">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4"/>
      <c r="AA303" s="184"/>
      <c r="AB303" s="680"/>
      <c r="AC303" s="251"/>
    </row>
    <row r="304" spans="1:29" ht="15.75" customHeight="1" thickBot="1" x14ac:dyDescent="0.4">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4"/>
      <c r="AA304" s="184"/>
      <c r="AB304" s="680"/>
      <c r="AC304" s="251"/>
    </row>
    <row r="305" spans="1:29" ht="15.75" customHeight="1" thickBot="1" x14ac:dyDescent="0.4">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4"/>
      <c r="AA305" s="184"/>
      <c r="AB305" s="680"/>
      <c r="AC305" s="251"/>
    </row>
    <row r="306" spans="1:29" ht="15.75" customHeight="1" thickBot="1" x14ac:dyDescent="0.4">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4"/>
      <c r="AA306" s="184"/>
      <c r="AB306" s="680"/>
      <c r="AC306" s="251"/>
    </row>
    <row r="307" spans="1:29" ht="15.75" customHeight="1" thickBot="1" x14ac:dyDescent="0.4">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4"/>
      <c r="AA307" s="184"/>
      <c r="AB307" s="680"/>
      <c r="AC307" s="251"/>
    </row>
    <row r="308" spans="1:29" ht="15.75" customHeight="1" thickBot="1" x14ac:dyDescent="0.4">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4"/>
      <c r="AA308" s="184"/>
      <c r="AB308" s="680"/>
      <c r="AC308" s="251"/>
    </row>
    <row r="309" spans="1:29" ht="15.75" customHeight="1" thickBot="1" x14ac:dyDescent="0.4">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4"/>
      <c r="AA309" s="184"/>
      <c r="AB309" s="680"/>
      <c r="AC309" s="251"/>
    </row>
    <row r="310" spans="1:29" ht="15.75" customHeight="1" thickBot="1" x14ac:dyDescent="0.4">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4"/>
      <c r="AA310" s="184"/>
      <c r="AB310" s="680"/>
      <c r="AC310" s="251"/>
    </row>
    <row r="311" spans="1:29" ht="15.75" customHeight="1" thickBot="1" x14ac:dyDescent="0.4">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4"/>
      <c r="AA311" s="184"/>
      <c r="AB311" s="680"/>
      <c r="AC311" s="251"/>
    </row>
    <row r="312" spans="1:29" ht="15.75" customHeight="1" thickBot="1" x14ac:dyDescent="0.4">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4"/>
      <c r="AA312" s="184"/>
      <c r="AB312" s="680"/>
      <c r="AC312" s="251"/>
    </row>
    <row r="313" spans="1:29" ht="15.75" customHeight="1" thickBot="1" x14ac:dyDescent="0.4">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4"/>
      <c r="AA313" s="184"/>
      <c r="AB313" s="680"/>
      <c r="AC313" s="251"/>
    </row>
    <row r="314" spans="1:29" ht="15.75" customHeight="1" thickBot="1" x14ac:dyDescent="0.4">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4"/>
      <c r="AA314" s="184"/>
      <c r="AB314" s="680"/>
      <c r="AC314" s="251"/>
    </row>
    <row r="315" spans="1:29" ht="15.75" customHeight="1" thickBot="1" x14ac:dyDescent="0.4">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4"/>
      <c r="AA315" s="184"/>
      <c r="AB315" s="680"/>
      <c r="AC315" s="251"/>
    </row>
    <row r="316" spans="1:29" ht="15.75" customHeight="1" thickBot="1" x14ac:dyDescent="0.4">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4"/>
      <c r="AA316" s="184"/>
      <c r="AB316" s="680"/>
      <c r="AC316" s="251"/>
    </row>
    <row r="317" spans="1:29" ht="15.75" customHeight="1" thickBot="1" x14ac:dyDescent="0.4">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4"/>
      <c r="AA317" s="184"/>
      <c r="AB317" s="680"/>
      <c r="AC317" s="251"/>
    </row>
    <row r="318" spans="1:29" ht="15.75" customHeight="1" thickBot="1" x14ac:dyDescent="0.4">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4"/>
      <c r="AA318" s="184"/>
      <c r="AB318" s="680"/>
      <c r="AC318" s="251"/>
    </row>
    <row r="319" spans="1:29" ht="15.75" customHeight="1" thickBot="1" x14ac:dyDescent="0.4">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4"/>
      <c r="AA319" s="184"/>
      <c r="AB319" s="680"/>
      <c r="AC319" s="251"/>
    </row>
    <row r="320" spans="1:29" ht="15.75" customHeight="1" thickBot="1" x14ac:dyDescent="0.4">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4"/>
      <c r="AA320" s="184"/>
      <c r="AB320" s="680"/>
      <c r="AC320" s="251"/>
    </row>
    <row r="321" spans="1:29" ht="15.75" customHeight="1" thickBot="1" x14ac:dyDescent="0.4">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4"/>
      <c r="AA321" s="184"/>
      <c r="AB321" s="680"/>
      <c r="AC321" s="251"/>
    </row>
    <row r="322" spans="1:29" ht="15.75" customHeight="1" thickBot="1" x14ac:dyDescent="0.4">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4"/>
      <c r="AA322" s="184"/>
      <c r="AB322" s="680"/>
      <c r="AC322" s="251"/>
    </row>
    <row r="323" spans="1:29" ht="15.75" customHeight="1" thickBot="1" x14ac:dyDescent="0.4">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4"/>
      <c r="AA323" s="184"/>
      <c r="AB323" s="680"/>
      <c r="AC323" s="251"/>
    </row>
    <row r="324" spans="1:29" ht="15.75" customHeight="1" thickBot="1" x14ac:dyDescent="0.4">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4"/>
      <c r="AA324" s="184"/>
      <c r="AB324" s="680"/>
      <c r="AC324" s="251"/>
    </row>
    <row r="325" spans="1:29" ht="15.75" customHeight="1" thickBot="1" x14ac:dyDescent="0.4">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4"/>
      <c r="AA325" s="184"/>
      <c r="AB325" s="680"/>
      <c r="AC325" s="251"/>
    </row>
    <row r="326" spans="1:29" ht="15.75" customHeight="1" thickBot="1" x14ac:dyDescent="0.4">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4"/>
      <c r="AA326" s="184"/>
      <c r="AB326" s="680"/>
      <c r="AC326" s="251"/>
    </row>
    <row r="327" spans="1:29" ht="15.75" customHeight="1" thickBot="1" x14ac:dyDescent="0.4">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4"/>
      <c r="AA327" s="184"/>
      <c r="AB327" s="680"/>
      <c r="AC327" s="251"/>
    </row>
    <row r="328" spans="1:29" ht="15.75" customHeight="1" thickBot="1" x14ac:dyDescent="0.4">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4"/>
      <c r="AA328" s="184"/>
      <c r="AB328" s="680"/>
      <c r="AC328" s="251"/>
    </row>
    <row r="329" spans="1:29" ht="15.75" customHeight="1" thickBot="1" x14ac:dyDescent="0.4">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4"/>
      <c r="AA329" s="184"/>
      <c r="AB329" s="680"/>
      <c r="AC329" s="251"/>
    </row>
    <row r="330" spans="1:29" ht="15.75" customHeight="1" thickBot="1" x14ac:dyDescent="0.4">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4"/>
      <c r="AA330" s="184"/>
      <c r="AB330" s="680"/>
      <c r="AC330" s="251"/>
    </row>
    <row r="331" spans="1:29" ht="15.75" customHeight="1" thickBot="1" x14ac:dyDescent="0.4">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4"/>
      <c r="AA331" s="184"/>
      <c r="AB331" s="680"/>
      <c r="AC331" s="251"/>
    </row>
    <row r="332" spans="1:29" ht="15.75" customHeight="1" thickBot="1" x14ac:dyDescent="0.4">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4"/>
      <c r="AA332" s="184"/>
      <c r="AB332" s="680"/>
      <c r="AC332" s="251"/>
    </row>
    <row r="333" spans="1:29" ht="15.75" customHeight="1" thickBot="1" x14ac:dyDescent="0.4">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4"/>
      <c r="AA333" s="184"/>
      <c r="AB333" s="680"/>
      <c r="AC333" s="251"/>
    </row>
    <row r="334" spans="1:29" ht="15.75" customHeight="1" thickBot="1" x14ac:dyDescent="0.4">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4"/>
      <c r="AA334" s="184"/>
      <c r="AB334" s="680"/>
      <c r="AC334" s="251"/>
    </row>
    <row r="335" spans="1:29" ht="15.75" customHeight="1" thickBot="1" x14ac:dyDescent="0.4">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4"/>
      <c r="AA335" s="184"/>
      <c r="AB335" s="680"/>
      <c r="AC335" s="251"/>
    </row>
    <row r="336" spans="1:29" ht="15.75" customHeight="1" thickBot="1" x14ac:dyDescent="0.4">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4"/>
      <c r="AA336" s="184"/>
      <c r="AB336" s="680"/>
      <c r="AC336" s="251"/>
    </row>
    <row r="337" spans="1:29" ht="15.75" customHeight="1" thickBot="1" x14ac:dyDescent="0.4">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4"/>
      <c r="AA337" s="184"/>
      <c r="AB337" s="680"/>
      <c r="AC337" s="251"/>
    </row>
    <row r="338" spans="1:29" ht="15.75" customHeight="1" thickBot="1" x14ac:dyDescent="0.4">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4"/>
      <c r="AA338" s="184"/>
      <c r="AB338" s="680"/>
      <c r="AC338" s="251"/>
    </row>
    <row r="339" spans="1:29" ht="15.75" customHeight="1" thickBot="1" x14ac:dyDescent="0.4">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4"/>
      <c r="AA339" s="184"/>
      <c r="AB339" s="680"/>
      <c r="AC339" s="251"/>
    </row>
    <row r="340" spans="1:29" ht="15.75" customHeight="1" thickBot="1" x14ac:dyDescent="0.4">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4"/>
      <c r="AA340" s="184"/>
      <c r="AB340" s="680"/>
      <c r="AC340" s="251"/>
    </row>
    <row r="341" spans="1:29" ht="15.75" customHeight="1" thickBot="1" x14ac:dyDescent="0.4">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4"/>
      <c r="AA341" s="184"/>
      <c r="AB341" s="680"/>
      <c r="AC341" s="251"/>
    </row>
    <row r="342" spans="1:29" ht="15.75" customHeight="1" thickBot="1" x14ac:dyDescent="0.4">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4"/>
      <c r="AA342" s="184"/>
      <c r="AB342" s="680"/>
      <c r="AC342" s="251"/>
    </row>
    <row r="343" spans="1:29" ht="15.75" customHeight="1" thickBot="1" x14ac:dyDescent="0.4">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4"/>
      <c r="AA343" s="184"/>
      <c r="AB343" s="680"/>
      <c r="AC343" s="251"/>
    </row>
    <row r="344" spans="1:29" ht="15.75" customHeight="1" thickBot="1" x14ac:dyDescent="0.4">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4"/>
      <c r="AA344" s="184"/>
      <c r="AB344" s="680"/>
      <c r="AC344" s="251"/>
    </row>
    <row r="345" spans="1:29" ht="15.75" customHeight="1" thickBot="1" x14ac:dyDescent="0.4">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4"/>
      <c r="AA345" s="184"/>
      <c r="AB345" s="680"/>
      <c r="AC345" s="251"/>
    </row>
    <row r="346" spans="1:29" ht="15.75" customHeight="1" thickBot="1" x14ac:dyDescent="0.4">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4"/>
      <c r="AA346" s="184"/>
      <c r="AB346" s="680"/>
      <c r="AC346" s="251"/>
    </row>
    <row r="347" spans="1:29" ht="15.75" customHeight="1" thickBot="1" x14ac:dyDescent="0.4">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4"/>
      <c r="AA347" s="184"/>
      <c r="AB347" s="680"/>
      <c r="AC347" s="251"/>
    </row>
    <row r="348" spans="1:29" ht="15.75" customHeight="1" thickBot="1" x14ac:dyDescent="0.4">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4"/>
      <c r="AA348" s="184"/>
      <c r="AB348" s="680"/>
      <c r="AC348" s="251"/>
    </row>
    <row r="349" spans="1:29" ht="15.75" customHeight="1" thickBot="1" x14ac:dyDescent="0.4">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4"/>
      <c r="AA349" s="184"/>
      <c r="AB349" s="680"/>
      <c r="AC349" s="251"/>
    </row>
    <row r="350" spans="1:29" ht="15.75" customHeight="1" thickBot="1" x14ac:dyDescent="0.4">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4"/>
      <c r="AA350" s="184"/>
      <c r="AB350" s="680"/>
      <c r="AC350" s="251"/>
    </row>
    <row r="351" spans="1:29" ht="15.75" customHeight="1" thickBot="1" x14ac:dyDescent="0.4">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4"/>
      <c r="AA351" s="184"/>
      <c r="AB351" s="680"/>
      <c r="AC351" s="251"/>
    </row>
    <row r="352" spans="1:29" ht="15.75" customHeight="1" thickBot="1" x14ac:dyDescent="0.4">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4"/>
      <c r="AA352" s="184"/>
      <c r="AB352" s="680"/>
      <c r="AC352" s="251"/>
    </row>
    <row r="353" spans="1:29" ht="15.75" customHeight="1" thickBot="1" x14ac:dyDescent="0.4">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4"/>
      <c r="AA353" s="184"/>
      <c r="AB353" s="680"/>
      <c r="AC353" s="251"/>
    </row>
    <row r="354" spans="1:29" ht="15.75" customHeight="1" thickBot="1" x14ac:dyDescent="0.4">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4"/>
      <c r="AA354" s="184"/>
      <c r="AB354" s="680"/>
      <c r="AC354" s="251"/>
    </row>
    <row r="355" spans="1:29" ht="15.75" customHeight="1" thickBot="1" x14ac:dyDescent="0.4">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4"/>
      <c r="AA355" s="184"/>
      <c r="AB355" s="680"/>
      <c r="AC355" s="251"/>
    </row>
    <row r="356" spans="1:29" ht="15.75" customHeight="1" thickBot="1" x14ac:dyDescent="0.4">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4"/>
      <c r="AA356" s="184"/>
      <c r="AB356" s="680"/>
      <c r="AC356" s="251"/>
    </row>
    <row r="357" spans="1:29" ht="15.75" customHeight="1" thickBot="1" x14ac:dyDescent="0.4">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4"/>
      <c r="AA357" s="184"/>
      <c r="AB357" s="680"/>
      <c r="AC357" s="251"/>
    </row>
    <row r="358" spans="1:29" ht="15.75" customHeight="1" thickBot="1" x14ac:dyDescent="0.4">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4"/>
      <c r="AA358" s="184"/>
      <c r="AB358" s="680"/>
      <c r="AC358" s="251"/>
    </row>
    <row r="359" spans="1:29" ht="15.75" customHeight="1" thickBot="1" x14ac:dyDescent="0.4">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4"/>
      <c r="AA359" s="184"/>
      <c r="AB359" s="680"/>
      <c r="AC359" s="251"/>
    </row>
    <row r="360" spans="1:29" ht="15.75" customHeight="1" thickBot="1" x14ac:dyDescent="0.4">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4"/>
      <c r="AA360" s="184"/>
      <c r="AB360" s="680"/>
      <c r="AC360" s="251"/>
    </row>
    <row r="361" spans="1:29" ht="15.75" customHeight="1" thickBot="1" x14ac:dyDescent="0.4">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4"/>
      <c r="AA361" s="184"/>
      <c r="AB361" s="680"/>
      <c r="AC361" s="251"/>
    </row>
    <row r="362" spans="1:29" ht="15.75" customHeight="1" thickBot="1" x14ac:dyDescent="0.4">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4"/>
      <c r="AA362" s="184"/>
      <c r="AB362" s="680"/>
      <c r="AC362" s="251"/>
    </row>
    <row r="363" spans="1:29" ht="15.75" customHeight="1" thickBot="1" x14ac:dyDescent="0.4">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4"/>
      <c r="AA363" s="184"/>
      <c r="AB363" s="680"/>
      <c r="AC363" s="251"/>
    </row>
    <row r="364" spans="1:29" ht="15.75" customHeight="1" thickBot="1" x14ac:dyDescent="0.4">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4"/>
      <c r="AA364" s="184"/>
      <c r="AB364" s="680"/>
      <c r="AC364" s="251"/>
    </row>
    <row r="365" spans="1:29" ht="15.75" customHeight="1" thickBot="1" x14ac:dyDescent="0.4">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4"/>
      <c r="AA365" s="184"/>
      <c r="AB365" s="680"/>
      <c r="AC365" s="251"/>
    </row>
    <row r="366" spans="1:29" ht="15.75" customHeight="1" thickBot="1" x14ac:dyDescent="0.4">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4"/>
      <c r="AA366" s="184"/>
      <c r="AB366" s="680"/>
      <c r="AC366" s="251"/>
    </row>
    <row r="367" spans="1:29" ht="15.75" customHeight="1" thickBot="1" x14ac:dyDescent="0.4">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4"/>
      <c r="AA367" s="184"/>
      <c r="AB367" s="680"/>
      <c r="AC367" s="251"/>
    </row>
    <row r="368" spans="1:29" ht="15.75" customHeight="1" thickBot="1" x14ac:dyDescent="0.4">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4"/>
      <c r="AA368" s="184"/>
      <c r="AB368" s="680"/>
      <c r="AC368" s="251"/>
    </row>
    <row r="369" spans="1:29" ht="15.75" customHeight="1" thickBot="1" x14ac:dyDescent="0.4">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4"/>
      <c r="AA369" s="184"/>
      <c r="AB369" s="680"/>
      <c r="AC369" s="251"/>
    </row>
    <row r="370" spans="1:29" ht="15.75" customHeight="1" thickBot="1" x14ac:dyDescent="0.4">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4"/>
      <c r="AA370" s="184"/>
      <c r="AB370" s="680"/>
      <c r="AC370" s="251"/>
    </row>
    <row r="371" spans="1:29" ht="15.75" customHeight="1" thickBot="1" x14ac:dyDescent="0.4">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4"/>
      <c r="AA371" s="184"/>
      <c r="AB371" s="680"/>
      <c r="AC371" s="251"/>
    </row>
    <row r="372" spans="1:29" ht="15.75" customHeight="1" x14ac:dyDescent="0.35"/>
    <row r="373" spans="1:29" ht="15.75" customHeight="1" x14ac:dyDescent="0.35"/>
    <row r="374" spans="1:29" ht="15.75" customHeight="1" x14ac:dyDescent="0.35"/>
    <row r="375" spans="1:29" ht="15.75" customHeight="1" x14ac:dyDescent="0.35"/>
    <row r="376" spans="1:29" ht="15.75" customHeight="1" x14ac:dyDescent="0.35"/>
    <row r="377" spans="1:29" ht="15.75" customHeight="1" x14ac:dyDescent="0.35"/>
    <row r="378" spans="1:29" ht="15.75" customHeight="1" x14ac:dyDescent="0.35"/>
    <row r="379" spans="1:29" ht="15.75" customHeight="1" x14ac:dyDescent="0.35"/>
    <row r="380" spans="1:29" ht="15.75" customHeight="1" x14ac:dyDescent="0.35"/>
    <row r="381" spans="1:29" ht="15.75" customHeight="1" x14ac:dyDescent="0.35"/>
    <row r="382" spans="1:29" ht="15.75" customHeight="1" x14ac:dyDescent="0.35"/>
    <row r="383" spans="1:29" ht="15.75" customHeight="1" x14ac:dyDescent="0.35"/>
    <row r="384" spans="1:29"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sheetProtection password="DF7C" sheet="1" objects="1" scenarios="1"/>
  <autoFilter ref="B2:AG171" xr:uid="{00000000-0009-0000-0000-000003000000}">
    <filterColumn colId="0" showButton="0"/>
  </autoFilter>
  <mergeCells count="39">
    <mergeCell ref="B167:C167"/>
    <mergeCell ref="B168:C168"/>
    <mergeCell ref="B135:C135"/>
    <mergeCell ref="B136:C136"/>
    <mergeCell ref="B140:C140"/>
    <mergeCell ref="B144:C144"/>
    <mergeCell ref="B150:C150"/>
    <mergeCell ref="B159:C159"/>
    <mergeCell ref="B121:C121"/>
    <mergeCell ref="B77:C77"/>
    <mergeCell ref="B79:C79"/>
    <mergeCell ref="B82:C82"/>
    <mergeCell ref="B83:C83"/>
    <mergeCell ref="B91:C91"/>
    <mergeCell ref="B95:C95"/>
    <mergeCell ref="B97:C97"/>
    <mergeCell ref="B98:C98"/>
    <mergeCell ref="B100:C100"/>
    <mergeCell ref="B105:C105"/>
    <mergeCell ref="B109:C109"/>
    <mergeCell ref="B73:C73"/>
    <mergeCell ref="B33:C33"/>
    <mergeCell ref="B37:C37"/>
    <mergeCell ref="B38:C38"/>
    <mergeCell ref="B46:C46"/>
    <mergeCell ref="B50:C50"/>
    <mergeCell ref="B53:C53"/>
    <mergeCell ref="B57:C57"/>
    <mergeCell ref="B60:C60"/>
    <mergeCell ref="B61:C61"/>
    <mergeCell ref="B64:C64"/>
    <mergeCell ref="B69:C69"/>
    <mergeCell ref="B27:C27"/>
    <mergeCell ref="B2:C2"/>
    <mergeCell ref="B3:C3"/>
    <mergeCell ref="B4:C4"/>
    <mergeCell ref="B5:C5"/>
    <mergeCell ref="B22:C22"/>
    <mergeCell ref="B26:C26"/>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I341"/>
  <sheetViews>
    <sheetView zoomScale="29" zoomScaleNormal="29" workbookViewId="0">
      <pane xSplit="3" ySplit="4" topLeftCell="M42" activePane="bottomRight" state="frozen"/>
      <selection pane="topRight" activeCell="D1" sqref="D1"/>
      <selection pane="bottomLeft" activeCell="A5" sqref="A5"/>
      <selection pane="bottomRight" activeCell="AC1" sqref="AC1:AI1048576"/>
    </sheetView>
  </sheetViews>
  <sheetFormatPr baseColWidth="10" defaultColWidth="14.44140625" defaultRowHeight="67.2" customHeight="1" x14ac:dyDescent="0.35"/>
  <cols>
    <col min="1" max="1" width="3.6640625" style="183" customWidth="1"/>
    <col min="2" max="2" width="58" style="183" customWidth="1"/>
    <col min="3" max="3" width="56.33203125" style="183" customWidth="1"/>
    <col min="4" max="4" width="38.6640625" style="183" customWidth="1"/>
    <col min="5" max="5" width="34.88671875" style="183" customWidth="1"/>
    <col min="6" max="6" width="42.109375" style="183" customWidth="1"/>
    <col min="7" max="7" width="34.5546875" style="183" customWidth="1"/>
    <col min="8" max="8" width="34.88671875" style="183" customWidth="1"/>
    <col min="9" max="9" width="35.109375" style="183" customWidth="1"/>
    <col min="10" max="10" width="35.33203125" style="183" customWidth="1"/>
    <col min="11" max="11" width="40.33203125" style="183" customWidth="1"/>
    <col min="12" max="12" width="33.6640625" style="183" customWidth="1"/>
    <col min="13" max="14" width="32.6640625" style="183" customWidth="1"/>
    <col min="15" max="15" width="31.88671875" style="183" customWidth="1"/>
    <col min="16" max="16" width="34.21875" style="183" customWidth="1"/>
    <col min="17" max="18" width="39.6640625" style="183" customWidth="1"/>
    <col min="19" max="19" width="30.5546875" style="183" customWidth="1"/>
    <col min="20" max="20" width="34.88671875" style="183" customWidth="1"/>
    <col min="21" max="21" width="42" style="183" customWidth="1"/>
    <col min="22" max="22" width="37.21875" style="183" customWidth="1"/>
    <col min="23" max="23" width="42.6640625" style="183" customWidth="1"/>
    <col min="24" max="24" width="40.109375" style="183" customWidth="1"/>
    <col min="25" max="25" width="41" style="183" customWidth="1"/>
    <col min="26" max="26" width="44.5546875" style="183" customWidth="1"/>
    <col min="27" max="27" width="42.77734375" style="183" customWidth="1"/>
    <col min="28" max="28" width="40" style="183" customWidth="1"/>
    <col min="29" max="29" width="42.5546875" style="183" hidden="1" customWidth="1"/>
    <col min="30" max="30" width="70" style="183" hidden="1" customWidth="1"/>
    <col min="31" max="31" width="53.6640625" style="183" hidden="1" customWidth="1"/>
    <col min="32" max="32" width="73" style="183" hidden="1" customWidth="1"/>
    <col min="33" max="33" width="61.77734375" style="183" hidden="1" customWidth="1"/>
    <col min="34" max="34" width="54.88671875" style="183" hidden="1" customWidth="1"/>
    <col min="35" max="35" width="63" style="183" hidden="1" customWidth="1"/>
    <col min="36" max="40" width="10.6640625" style="183" customWidth="1"/>
    <col min="41" max="16384" width="14.44140625" style="183"/>
  </cols>
  <sheetData>
    <row r="1" spans="1:113" ht="33.6" customHeight="1" thickBot="1" x14ac:dyDescent="0.4">
      <c r="A1" s="180"/>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0"/>
      <c r="AE1" s="180"/>
      <c r="AF1" s="180"/>
      <c r="AG1" s="180"/>
      <c r="AH1" s="180"/>
      <c r="AI1" s="180"/>
    </row>
    <row r="2" spans="1:113" s="342" customFormat="1" ht="222.6" customHeight="1" thickBot="1" x14ac:dyDescent="0.45">
      <c r="A2" s="334"/>
      <c r="B2" s="1294" t="s">
        <v>0</v>
      </c>
      <c r="C2" s="1295"/>
      <c r="D2" s="335" t="s">
        <v>1</v>
      </c>
      <c r="E2" s="336" t="s">
        <v>2</v>
      </c>
      <c r="F2" s="337" t="s">
        <v>3</v>
      </c>
      <c r="G2" s="337" t="s">
        <v>4</v>
      </c>
      <c r="H2" s="337" t="s">
        <v>1873</v>
      </c>
      <c r="I2" s="337" t="s">
        <v>5</v>
      </c>
      <c r="J2" s="337" t="s">
        <v>1874</v>
      </c>
      <c r="K2" s="338" t="s">
        <v>6</v>
      </c>
      <c r="L2" s="338" t="s">
        <v>1875</v>
      </c>
      <c r="M2" s="339" t="s">
        <v>1847</v>
      </c>
      <c r="N2" s="1157" t="s">
        <v>1876</v>
      </c>
      <c r="O2" s="1157" t="s">
        <v>1878</v>
      </c>
      <c r="P2" s="1157" t="s">
        <v>1877</v>
      </c>
      <c r="Q2" s="1157" t="s">
        <v>2442</v>
      </c>
      <c r="R2" s="1157" t="s">
        <v>2486</v>
      </c>
      <c r="S2" s="1157" t="s">
        <v>1879</v>
      </c>
      <c r="T2" s="1157" t="s">
        <v>1880</v>
      </c>
      <c r="U2" s="539" t="s">
        <v>7</v>
      </c>
      <c r="V2" s="1196" t="s">
        <v>2487</v>
      </c>
      <c r="W2" s="464" t="s">
        <v>8</v>
      </c>
      <c r="X2" s="1165" t="s">
        <v>2489</v>
      </c>
      <c r="Y2" s="463" t="s">
        <v>1882</v>
      </c>
      <c r="Z2" s="1197" t="s">
        <v>2488</v>
      </c>
      <c r="AA2" s="667" t="s">
        <v>1849</v>
      </c>
      <c r="AB2" s="1165" t="s">
        <v>2490</v>
      </c>
      <c r="AC2" s="340" t="s">
        <v>2491</v>
      </c>
      <c r="AD2" s="600" t="s">
        <v>1883</v>
      </c>
      <c r="AE2" s="601" t="s">
        <v>2298</v>
      </c>
      <c r="AF2" s="1082" t="s">
        <v>2299</v>
      </c>
      <c r="AG2" s="1083" t="s">
        <v>2351</v>
      </c>
      <c r="AH2" s="1083" t="s">
        <v>2443</v>
      </c>
      <c r="AI2" s="1083" t="s">
        <v>1881</v>
      </c>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c r="BT2" s="341"/>
      <c r="BU2" s="341"/>
      <c r="BV2" s="341"/>
      <c r="BW2" s="341"/>
      <c r="BX2" s="341"/>
      <c r="BY2" s="341"/>
      <c r="BZ2" s="341"/>
      <c r="CA2" s="341"/>
      <c r="CB2" s="341"/>
      <c r="CC2" s="341"/>
      <c r="CD2" s="341"/>
      <c r="CE2" s="341"/>
      <c r="CF2" s="341"/>
      <c r="CG2" s="341"/>
      <c r="CH2" s="341"/>
      <c r="CI2" s="341"/>
      <c r="CJ2" s="341"/>
      <c r="CK2" s="341"/>
      <c r="CL2" s="341"/>
      <c r="CM2" s="341"/>
      <c r="CN2" s="341"/>
      <c r="CO2" s="341"/>
      <c r="CP2" s="341"/>
      <c r="CQ2" s="341"/>
      <c r="CR2" s="341"/>
      <c r="CS2" s="341"/>
      <c r="CT2" s="341"/>
      <c r="CU2" s="341"/>
      <c r="CV2" s="341"/>
      <c r="CW2" s="341"/>
      <c r="CX2" s="341"/>
      <c r="CY2" s="341"/>
      <c r="CZ2" s="341"/>
      <c r="DA2" s="341"/>
      <c r="DB2" s="341"/>
      <c r="DC2" s="341"/>
      <c r="DD2" s="341"/>
      <c r="DE2" s="341"/>
      <c r="DF2" s="341"/>
      <c r="DG2" s="341"/>
      <c r="DH2" s="341"/>
      <c r="DI2" s="341"/>
    </row>
    <row r="3" spans="1:113" s="170" customFormat="1" ht="129" customHeight="1" thickBot="1" x14ac:dyDescent="0.9">
      <c r="A3" s="169"/>
      <c r="B3" s="1337" t="s">
        <v>1819</v>
      </c>
      <c r="C3" s="1338"/>
      <c r="D3" s="322"/>
      <c r="E3" s="323">
        <v>0.08</v>
      </c>
      <c r="F3" s="324"/>
      <c r="G3" s="325"/>
      <c r="H3" s="325"/>
      <c r="I3" s="326">
        <f>+(I4+I17+I48+I57+I77+I109)/6</f>
        <v>0.23222048675539217</v>
      </c>
      <c r="J3" s="616">
        <f>+(J4+J17+J48+J57+J77+J109)/6</f>
        <v>0.28247799844447724</v>
      </c>
      <c r="K3" s="617">
        <f>+(K4+K17+K48+K57+K77+K109)/6</f>
        <v>0.21726216822485131</v>
      </c>
      <c r="L3" s="617">
        <f>+(L4+L17+L48+L57+L77+L109)/6</f>
        <v>0.25962902970153884</v>
      </c>
      <c r="M3" s="327"/>
      <c r="N3" s="327"/>
      <c r="O3" s="327"/>
      <c r="P3" s="327"/>
      <c r="Q3" s="327"/>
      <c r="R3" s="1223"/>
      <c r="S3" s="327"/>
      <c r="T3" s="327"/>
      <c r="U3" s="616">
        <f>+(U4+U17+U48+U57+U77+U109)/6</f>
        <v>0.91685226242112661</v>
      </c>
      <c r="V3" s="616">
        <f>+(V4+V17+V48+V57+V77+V109)/6</f>
        <v>0.88279501521466452</v>
      </c>
      <c r="W3" s="617">
        <f>F4+F17+F48+F57+F77+F109</f>
        <v>0.75143767106226866</v>
      </c>
      <c r="X3" s="617">
        <f>H4+H17+H48+H57+H77+H109</f>
        <v>0.85260946441075092</v>
      </c>
      <c r="Y3" s="616">
        <f>+(Y4+Y17+Y48+Y57+Y77+Y109)/6</f>
        <v>0.21689546793257833</v>
      </c>
      <c r="Z3" s="616">
        <f>+(Z4+Z17+Z48+Z57+Z77+Z109)/6</f>
        <v>0.54534437455673601</v>
      </c>
      <c r="AA3" s="617">
        <f>+(AA4+AA17+AA48+AA57+AA77+AA109)/6</f>
        <v>0.19300125399793866</v>
      </c>
      <c r="AB3" s="617">
        <f>+(AB4*E4+AB17*E17+AB48*E48+AB57*E57+AB77*E77+AB109*E109)</f>
        <v>0.50552782129594898</v>
      </c>
      <c r="AC3" s="327"/>
      <c r="AD3" s="327"/>
      <c r="AE3" s="327"/>
      <c r="AF3" s="327"/>
      <c r="AG3" s="1116"/>
      <c r="AH3" s="1120"/>
      <c r="AI3" s="328"/>
    </row>
    <row r="4" spans="1:113" s="729" customFormat="1" ht="67.2" customHeight="1" thickBot="1" x14ac:dyDescent="0.5">
      <c r="A4" s="1023"/>
      <c r="B4" s="1339" t="s">
        <v>1587</v>
      </c>
      <c r="C4" s="1307"/>
      <c r="D4" s="1024"/>
      <c r="E4" s="1025">
        <v>0.15</v>
      </c>
      <c r="F4" s="1026">
        <f>+E4*W4</f>
        <v>9.6000000000000002E-2</v>
      </c>
      <c r="G4" s="1027"/>
      <c r="H4" s="1026">
        <f>+E4*X4</f>
        <v>0.12074999999999998</v>
      </c>
      <c r="I4" s="741">
        <f>+(I5+I9+I12)/2</f>
        <v>0.24124999999999999</v>
      </c>
      <c r="J4" s="741">
        <f>+(J5+J9+J12)/3</f>
        <v>0.23564814814814816</v>
      </c>
      <c r="K4" s="740">
        <f>+(K5+K9+K12)/2</f>
        <v>0.24783333333333332</v>
      </c>
      <c r="L4" s="740">
        <f>+(L5+L9+L12)/3</f>
        <v>0.17905555555555552</v>
      </c>
      <c r="M4" s="745"/>
      <c r="N4" s="745"/>
      <c r="O4" s="745"/>
      <c r="P4" s="745"/>
      <c r="Q4" s="745"/>
      <c r="R4" s="1224"/>
      <c r="S4" s="745"/>
      <c r="T4" s="745"/>
      <c r="U4" s="741">
        <f>+(U5+U9+U12)/2</f>
        <v>0.875</v>
      </c>
      <c r="V4" s="741">
        <f>+(V5+V9+V12)/3</f>
        <v>0.77777777777777768</v>
      </c>
      <c r="W4" s="740">
        <f>+W5+W9+W12</f>
        <v>0.64</v>
      </c>
      <c r="X4" s="740">
        <f>+X5+X9+X12</f>
        <v>0.80499999999999994</v>
      </c>
      <c r="Y4" s="741">
        <f>(Y5+Y9+Y12)/2</f>
        <v>0.21</v>
      </c>
      <c r="Z4" s="741">
        <f>+((Z5-Y5)/3)+((Z9-Y9)/3)+((Z12-Y12)/3)+Y4</f>
        <v>0.47580555555555559</v>
      </c>
      <c r="AA4" s="1028">
        <f>(AA5+AA9+AA12)</f>
        <v>0.15870000000000001</v>
      </c>
      <c r="AB4" s="1028">
        <f>(AB5*E5+AB9*E9+AB12*E12)</f>
        <v>0.41844000000000003</v>
      </c>
      <c r="AC4" s="745"/>
      <c r="AD4" s="1029" t="s">
        <v>1999</v>
      </c>
      <c r="AE4" s="745"/>
      <c r="AF4" s="745"/>
      <c r="AG4" s="1117"/>
      <c r="AH4" s="745"/>
      <c r="AI4" s="1030"/>
    </row>
    <row r="5" spans="1:113" ht="67.2" customHeight="1" thickBot="1" x14ac:dyDescent="0.4">
      <c r="A5" s="301"/>
      <c r="B5" s="1340" t="s">
        <v>1820</v>
      </c>
      <c r="C5" s="1324"/>
      <c r="D5" s="303"/>
      <c r="E5" s="306">
        <v>0.3</v>
      </c>
      <c r="F5" s="252"/>
      <c r="G5" s="192"/>
      <c r="H5" s="192"/>
      <c r="I5" s="198"/>
      <c r="J5" s="198">
        <f>+AVERAGE(J6:J8)</f>
        <v>0.30444444444444446</v>
      </c>
      <c r="K5" s="198"/>
      <c r="L5" s="198">
        <f>+L6+L7+L8</f>
        <v>0.13749999999999998</v>
      </c>
      <c r="M5" s="197"/>
      <c r="N5" s="197"/>
      <c r="O5" s="197"/>
      <c r="P5" s="197"/>
      <c r="Q5" s="197"/>
      <c r="R5" s="1218"/>
      <c r="S5" s="197"/>
      <c r="T5" s="197"/>
      <c r="U5" s="221"/>
      <c r="V5" s="221">
        <f>+AVERAGE(V6:V8)</f>
        <v>0.33333333333333331</v>
      </c>
      <c r="W5" s="221"/>
      <c r="X5" s="221">
        <f>+(X6+X7+X8)*E5</f>
        <v>0.105</v>
      </c>
      <c r="Y5" s="198"/>
      <c r="Z5" s="198">
        <f>+(Z6*0.33)+(Z7*0.33)+(Z8*0.33)</f>
        <v>0.11549999999999999</v>
      </c>
      <c r="AA5" s="198"/>
      <c r="AB5" s="198">
        <f>+(AB6+AB7+AB8)</f>
        <v>0.12249999999999998</v>
      </c>
      <c r="AC5" s="192"/>
      <c r="AD5" s="192"/>
      <c r="AE5" s="192"/>
      <c r="AF5" s="192"/>
      <c r="AG5" s="683"/>
      <c r="AH5" s="192"/>
      <c r="AI5" s="186"/>
    </row>
    <row r="6" spans="1:113" ht="67.2" customHeight="1" thickBot="1" x14ac:dyDescent="0.4">
      <c r="A6" s="301"/>
      <c r="B6" s="1242" t="s">
        <v>955</v>
      </c>
      <c r="C6" s="1242" t="s">
        <v>1161</v>
      </c>
      <c r="D6" s="303" t="s">
        <v>516</v>
      </c>
      <c r="E6" s="261">
        <v>0.35</v>
      </c>
      <c r="F6" s="262">
        <v>40</v>
      </c>
      <c r="G6" s="199">
        <v>0</v>
      </c>
      <c r="H6" s="199">
        <v>10</v>
      </c>
      <c r="I6" s="205"/>
      <c r="J6" s="205">
        <f>+H6/F6</f>
        <v>0.25</v>
      </c>
      <c r="K6" s="205"/>
      <c r="L6" s="205">
        <f>+(H6/F6)*E6</f>
        <v>8.7499999999999994E-2</v>
      </c>
      <c r="M6" s="199"/>
      <c r="N6" s="608">
        <v>1</v>
      </c>
      <c r="O6" s="608">
        <v>7</v>
      </c>
      <c r="P6" s="608">
        <v>6</v>
      </c>
      <c r="Q6" s="608">
        <v>0</v>
      </c>
      <c r="R6" s="608">
        <v>0</v>
      </c>
      <c r="S6" s="199">
        <f>+N6+O6+P6+Q6+R6</f>
        <v>14</v>
      </c>
      <c r="T6" s="199">
        <f>+S6+M6</f>
        <v>14</v>
      </c>
      <c r="U6" s="206"/>
      <c r="V6" s="205">
        <v>1</v>
      </c>
      <c r="W6" s="207"/>
      <c r="X6" s="207">
        <f>+V6*E6</f>
        <v>0.35</v>
      </c>
      <c r="Y6" s="205"/>
      <c r="Z6" s="223">
        <f>+T6/F6</f>
        <v>0.35</v>
      </c>
      <c r="AA6" s="205"/>
      <c r="AB6" s="205">
        <f>+Z6*E6</f>
        <v>0.12249999999999998</v>
      </c>
      <c r="AC6" s="283" t="s">
        <v>1852</v>
      </c>
      <c r="AD6" s="192"/>
      <c r="AE6" s="642" t="s">
        <v>2277</v>
      </c>
      <c r="AF6" s="642" t="s">
        <v>2296</v>
      </c>
      <c r="AG6" s="932" t="s">
        <v>2412</v>
      </c>
      <c r="AH6" s="661" t="s">
        <v>1865</v>
      </c>
      <c r="AI6" s="932" t="s">
        <v>2564</v>
      </c>
    </row>
    <row r="7" spans="1:113" ht="67.2" customHeight="1" thickBot="1" x14ac:dyDescent="0.4">
      <c r="A7" s="301"/>
      <c r="B7" s="1014" t="s">
        <v>956</v>
      </c>
      <c r="C7" s="1014" t="s">
        <v>1162</v>
      </c>
      <c r="D7" s="303" t="s">
        <v>516</v>
      </c>
      <c r="E7" s="264">
        <v>0.5</v>
      </c>
      <c r="F7" s="262">
        <v>1</v>
      </c>
      <c r="G7" s="199">
        <v>0</v>
      </c>
      <c r="H7" s="199">
        <v>0.33</v>
      </c>
      <c r="I7" s="205"/>
      <c r="J7" s="205">
        <f>+H7/F7</f>
        <v>0.33</v>
      </c>
      <c r="K7" s="205"/>
      <c r="L7" s="205"/>
      <c r="M7" s="199"/>
      <c r="N7" s="608"/>
      <c r="O7" s="608">
        <v>0</v>
      </c>
      <c r="P7" s="608"/>
      <c r="Q7" s="608">
        <v>0</v>
      </c>
      <c r="R7" s="608">
        <v>0</v>
      </c>
      <c r="S7" s="199">
        <f t="shared" ref="S7:S70" si="0">+N7+O7+P7+Q7+R7</f>
        <v>0</v>
      </c>
      <c r="T7" s="199">
        <f>+S7+M7</f>
        <v>0</v>
      </c>
      <c r="U7" s="206"/>
      <c r="V7" s="205">
        <f>+S7/H7</f>
        <v>0</v>
      </c>
      <c r="W7" s="207"/>
      <c r="X7" s="207"/>
      <c r="Y7" s="205"/>
      <c r="Z7" s="223">
        <f>+T7/F7</f>
        <v>0</v>
      </c>
      <c r="AA7" s="205"/>
      <c r="AB7" s="205">
        <f>+Z7*E7</f>
        <v>0</v>
      </c>
      <c r="AC7" s="283" t="s">
        <v>1852</v>
      </c>
      <c r="AD7" s="192"/>
      <c r="AE7" s="642" t="s">
        <v>2277</v>
      </c>
      <c r="AF7" s="642" t="s">
        <v>2296</v>
      </c>
      <c r="AG7" s="924" t="s">
        <v>2396</v>
      </c>
      <c r="AH7" s="932" t="s">
        <v>2449</v>
      </c>
      <c r="AI7" s="932" t="s">
        <v>2564</v>
      </c>
    </row>
    <row r="8" spans="1:113" ht="123" customHeight="1" thickBot="1" x14ac:dyDescent="0.4">
      <c r="A8" s="301"/>
      <c r="B8" s="1242" t="s">
        <v>957</v>
      </c>
      <c r="C8" s="1242" t="s">
        <v>1163</v>
      </c>
      <c r="D8" s="303" t="s">
        <v>516</v>
      </c>
      <c r="E8" s="307">
        <v>0.15</v>
      </c>
      <c r="F8" s="262">
        <v>3</v>
      </c>
      <c r="G8" s="199">
        <v>0</v>
      </c>
      <c r="H8" s="199">
        <v>1</v>
      </c>
      <c r="I8" s="205"/>
      <c r="J8" s="205">
        <f t="shared" ref="J8" si="1">+H8/F8</f>
        <v>0.33333333333333331</v>
      </c>
      <c r="K8" s="205"/>
      <c r="L8" s="205">
        <f t="shared" ref="L8" si="2">+(H8/F8)*E8</f>
        <v>4.9999999999999996E-2</v>
      </c>
      <c r="M8" s="199"/>
      <c r="N8" s="608">
        <v>0</v>
      </c>
      <c r="O8" s="608">
        <v>0</v>
      </c>
      <c r="P8" s="608">
        <v>0</v>
      </c>
      <c r="Q8" s="608">
        <v>0</v>
      </c>
      <c r="R8" s="608">
        <v>0</v>
      </c>
      <c r="S8" s="199">
        <f t="shared" si="0"/>
        <v>0</v>
      </c>
      <c r="T8" s="199">
        <f>+S8+M8</f>
        <v>0</v>
      </c>
      <c r="U8" s="206"/>
      <c r="V8" s="205">
        <f t="shared" ref="V8" si="3">+S8/H8</f>
        <v>0</v>
      </c>
      <c r="W8" s="207"/>
      <c r="X8" s="207">
        <f>+V8*E8</f>
        <v>0</v>
      </c>
      <c r="Y8" s="205"/>
      <c r="Z8" s="205">
        <v>0</v>
      </c>
      <c r="AA8" s="205"/>
      <c r="AB8" s="205">
        <f>+Z8*E8</f>
        <v>0</v>
      </c>
      <c r="AC8" s="283" t="s">
        <v>1852</v>
      </c>
      <c r="AD8" s="661" t="s">
        <v>1920</v>
      </c>
      <c r="AE8" s="192"/>
      <c r="AF8" s="642" t="s">
        <v>2296</v>
      </c>
      <c r="AG8" s="932" t="s">
        <v>2412</v>
      </c>
      <c r="AH8" s="932" t="s">
        <v>2449</v>
      </c>
      <c r="AI8" s="932" t="s">
        <v>2564</v>
      </c>
    </row>
    <row r="9" spans="1:113" ht="67.2" customHeight="1" thickBot="1" x14ac:dyDescent="0.4">
      <c r="A9" s="301"/>
      <c r="B9" s="1340" t="s">
        <v>1821</v>
      </c>
      <c r="C9" s="1324"/>
      <c r="D9" s="303"/>
      <c r="E9" s="308">
        <v>0.4</v>
      </c>
      <c r="F9" s="262"/>
      <c r="G9" s="199"/>
      <c r="H9" s="199"/>
      <c r="I9" s="198">
        <f>+AVERAGE(I10:I11)</f>
        <v>0.25</v>
      </c>
      <c r="J9" s="198">
        <f>+AVERAGE(J10:J11)</f>
        <v>0.25</v>
      </c>
      <c r="K9" s="198">
        <f>+K10+K11</f>
        <v>0.25</v>
      </c>
      <c r="L9" s="198">
        <f>+L10+L11</f>
        <v>0.25</v>
      </c>
      <c r="M9" s="197"/>
      <c r="N9" s="197"/>
      <c r="O9" s="197"/>
      <c r="P9" s="197"/>
      <c r="Q9" s="197"/>
      <c r="R9" s="1218"/>
      <c r="S9" s="199"/>
      <c r="T9" s="197"/>
      <c r="U9" s="221">
        <f>+AVERAGE(U10:U11)</f>
        <v>0.75</v>
      </c>
      <c r="V9" s="221">
        <f>+AVERAGE(V10:V11)</f>
        <v>1</v>
      </c>
      <c r="W9" s="221">
        <f>+(W10+W11)*E9</f>
        <v>0.34</v>
      </c>
      <c r="X9" s="221">
        <f>+(X10+X11)*E9</f>
        <v>0.4</v>
      </c>
      <c r="Y9" s="198">
        <f>+AVERAGE(Y10:Y11)</f>
        <v>0.1875</v>
      </c>
      <c r="Z9" s="198">
        <f>+AVERAGE(Z10:Z11)</f>
        <v>0.625</v>
      </c>
      <c r="AA9" s="198">
        <f>+(AA10+AA11)*E9</f>
        <v>8.5000000000000006E-2</v>
      </c>
      <c r="AB9" s="198">
        <f>+(AB10+AB11)</f>
        <v>0.57499999999999996</v>
      </c>
      <c r="AC9" s="192"/>
      <c r="AD9" s="192"/>
      <c r="AE9" s="192"/>
      <c r="AF9" s="192"/>
      <c r="AG9" s="683"/>
      <c r="AH9" s="192"/>
      <c r="AI9" s="186"/>
    </row>
    <row r="10" spans="1:113" ht="163.95" customHeight="1" thickBot="1" x14ac:dyDescent="0.4">
      <c r="A10" s="301"/>
      <c r="B10" s="1014" t="s">
        <v>958</v>
      </c>
      <c r="C10" s="1014" t="s">
        <v>1164</v>
      </c>
      <c r="D10" s="303" t="s">
        <v>516</v>
      </c>
      <c r="E10" s="261">
        <v>0.7</v>
      </c>
      <c r="F10" s="262">
        <v>1</v>
      </c>
      <c r="G10" s="199">
        <v>0.25</v>
      </c>
      <c r="H10" s="199">
        <v>0.25</v>
      </c>
      <c r="I10" s="205">
        <f>+G10/F10</f>
        <v>0.25</v>
      </c>
      <c r="J10" s="205">
        <f>+H10/F10</f>
        <v>0.25</v>
      </c>
      <c r="K10" s="205">
        <f>+(G10/F10)*E10</f>
        <v>0.17499999999999999</v>
      </c>
      <c r="L10" s="205">
        <f>+(H10/F10)*E10</f>
        <v>0.17499999999999999</v>
      </c>
      <c r="M10" s="199">
        <v>0.25</v>
      </c>
      <c r="N10" s="608">
        <v>0</v>
      </c>
      <c r="O10" s="608">
        <v>0.18</v>
      </c>
      <c r="P10" s="608">
        <v>7.0000000000000007E-2</v>
      </c>
      <c r="Q10" s="608">
        <v>0</v>
      </c>
      <c r="R10" s="608">
        <v>0</v>
      </c>
      <c r="S10" s="199">
        <f t="shared" si="0"/>
        <v>0.25</v>
      </c>
      <c r="T10" s="199">
        <f t="shared" ref="T10:T11" si="4">+S10+M10</f>
        <v>0.5</v>
      </c>
      <c r="U10" s="223">
        <f>+(M10/G10)</f>
        <v>1</v>
      </c>
      <c r="V10" s="223">
        <f t="shared" ref="V10" si="5">+S10/H10</f>
        <v>1</v>
      </c>
      <c r="W10" s="223">
        <f>+U10*E10</f>
        <v>0.7</v>
      </c>
      <c r="X10" s="223">
        <f t="shared" ref="X10:X16" si="6">+V10*E10</f>
        <v>0.7</v>
      </c>
      <c r="Y10" s="223">
        <f>+M10/F10</f>
        <v>0.25</v>
      </c>
      <c r="Z10" s="223">
        <f t="shared" ref="Z10:Z11" si="7">+T10/F10</f>
        <v>0.5</v>
      </c>
      <c r="AA10" s="205">
        <f>+Y10*E10</f>
        <v>0.17499999999999999</v>
      </c>
      <c r="AB10" s="205">
        <f>+Z10*E10</f>
        <v>0.35</v>
      </c>
      <c r="AC10" s="283" t="s">
        <v>1852</v>
      </c>
      <c r="AD10" s="192"/>
      <c r="AE10" s="642" t="s">
        <v>2277</v>
      </c>
      <c r="AF10" s="642" t="s">
        <v>2296</v>
      </c>
      <c r="AG10" s="932" t="s">
        <v>2412</v>
      </c>
      <c r="AH10" s="932" t="s">
        <v>2449</v>
      </c>
      <c r="AI10" s="932" t="s">
        <v>2564</v>
      </c>
    </row>
    <row r="11" spans="1:113" ht="97.2" customHeight="1" thickBot="1" x14ac:dyDescent="0.4">
      <c r="A11" s="301"/>
      <c r="B11" s="1014" t="s">
        <v>959</v>
      </c>
      <c r="C11" s="1014" t="s">
        <v>1165</v>
      </c>
      <c r="D11" s="303" t="s">
        <v>960</v>
      </c>
      <c r="E11" s="307">
        <v>0.3</v>
      </c>
      <c r="F11" s="262">
        <v>8</v>
      </c>
      <c r="G11" s="199">
        <v>2</v>
      </c>
      <c r="H11" s="199">
        <v>2</v>
      </c>
      <c r="I11" s="205">
        <f>+G11/F11</f>
        <v>0.25</v>
      </c>
      <c r="J11" s="205">
        <f>+H11/F11</f>
        <v>0.25</v>
      </c>
      <c r="K11" s="205">
        <f>+(G11/F11)*E11</f>
        <v>7.4999999999999997E-2</v>
      </c>
      <c r="L11" s="205">
        <f>+(H11/F11)*E11</f>
        <v>7.4999999999999997E-2</v>
      </c>
      <c r="M11" s="199">
        <v>1</v>
      </c>
      <c r="N11" s="608">
        <v>0</v>
      </c>
      <c r="O11" s="608">
        <v>1</v>
      </c>
      <c r="P11" s="608">
        <v>0</v>
      </c>
      <c r="Q11" s="608">
        <v>0</v>
      </c>
      <c r="R11" s="608">
        <v>4</v>
      </c>
      <c r="S11" s="199">
        <f t="shared" si="0"/>
        <v>5</v>
      </c>
      <c r="T11" s="199">
        <f t="shared" si="4"/>
        <v>6</v>
      </c>
      <c r="U11" s="223">
        <f>+(M11/G11)</f>
        <v>0.5</v>
      </c>
      <c r="V11" s="223">
        <v>1</v>
      </c>
      <c r="W11" s="223">
        <f>+U11*E11</f>
        <v>0.15</v>
      </c>
      <c r="X11" s="223">
        <f t="shared" si="6"/>
        <v>0.3</v>
      </c>
      <c r="Y11" s="223">
        <f>+M11/F11</f>
        <v>0.125</v>
      </c>
      <c r="Z11" s="223">
        <f t="shared" si="7"/>
        <v>0.75</v>
      </c>
      <c r="AA11" s="205">
        <f>+Y11*E11</f>
        <v>3.7499999999999999E-2</v>
      </c>
      <c r="AB11" s="205">
        <f>+Z11*E11</f>
        <v>0.22499999999999998</v>
      </c>
      <c r="AC11" s="283" t="s">
        <v>1852</v>
      </c>
      <c r="AD11" s="192"/>
      <c r="AE11" s="642" t="s">
        <v>2277</v>
      </c>
      <c r="AF11" s="642" t="s">
        <v>2296</v>
      </c>
      <c r="AG11" s="932" t="s">
        <v>2412</v>
      </c>
      <c r="AH11" s="932" t="s">
        <v>2449</v>
      </c>
      <c r="AI11" s="932" t="s">
        <v>2564</v>
      </c>
    </row>
    <row r="12" spans="1:113" ht="67.2" customHeight="1" thickBot="1" x14ac:dyDescent="0.4">
      <c r="A12" s="301"/>
      <c r="B12" s="1340" t="s">
        <v>1822</v>
      </c>
      <c r="C12" s="1324"/>
      <c r="D12" s="303"/>
      <c r="E12" s="309">
        <v>0.3</v>
      </c>
      <c r="F12" s="252"/>
      <c r="G12" s="192"/>
      <c r="H12" s="192"/>
      <c r="I12" s="198">
        <f>+AVERAGE(I13:I16)</f>
        <v>0.23249999999999998</v>
      </c>
      <c r="J12" s="198">
        <f>+AVERAGE(J13:J16)</f>
        <v>0.1525</v>
      </c>
      <c r="K12" s="198">
        <f>+K13+K14+K15+K16</f>
        <v>0.24566666666666664</v>
      </c>
      <c r="L12" s="198">
        <f>+L13+L14+L15+L16</f>
        <v>0.14966666666666667</v>
      </c>
      <c r="M12" s="197"/>
      <c r="N12" s="197"/>
      <c r="O12" s="197"/>
      <c r="P12" s="197"/>
      <c r="Q12" s="197"/>
      <c r="R12" s="1218"/>
      <c r="S12" s="199"/>
      <c r="T12" s="197"/>
      <c r="U12" s="221">
        <f>+AVERAGE(U13:U16)</f>
        <v>1</v>
      </c>
      <c r="V12" s="221">
        <f>+AVERAGE(V13:V16)</f>
        <v>1</v>
      </c>
      <c r="W12" s="221">
        <f>+(W13+W14+W15+W16)*E12</f>
        <v>0.3</v>
      </c>
      <c r="X12" s="221">
        <f>+(X13+X14+X15+X16)*E12</f>
        <v>0.3</v>
      </c>
      <c r="Y12" s="198">
        <f>+AVERAGE(Y13:Y16)</f>
        <v>0.23249999999999998</v>
      </c>
      <c r="Z12" s="198">
        <f>+AVERAGE(Z13:Z16)</f>
        <v>0.47691666666666666</v>
      </c>
      <c r="AA12" s="198">
        <f>+(AA13+AA14+AA15+AA16)*E12</f>
        <v>7.3699999999999988E-2</v>
      </c>
      <c r="AB12" s="198">
        <f>+(AB13+AB14+AB15+AB16)</f>
        <v>0.50563333333333338</v>
      </c>
      <c r="AC12" s="192"/>
      <c r="AD12" s="192"/>
      <c r="AE12" s="192"/>
      <c r="AF12" s="192"/>
      <c r="AG12" s="683"/>
      <c r="AH12" s="192"/>
      <c r="AI12" s="186"/>
    </row>
    <row r="13" spans="1:113" ht="135.6" customHeight="1" thickBot="1" x14ac:dyDescent="0.4">
      <c r="A13" s="301"/>
      <c r="B13" s="1253" t="s">
        <v>961</v>
      </c>
      <c r="C13" s="1253" t="s">
        <v>1166</v>
      </c>
      <c r="D13" s="212" t="s">
        <v>962</v>
      </c>
      <c r="E13" s="264">
        <v>0.3</v>
      </c>
      <c r="F13" s="723">
        <v>3000</v>
      </c>
      <c r="G13" s="199">
        <v>350</v>
      </c>
      <c r="H13" s="199">
        <v>350</v>
      </c>
      <c r="I13" s="205">
        <f>+G13/F13</f>
        <v>0.11666666666666667</v>
      </c>
      <c r="J13" s="205">
        <f t="shared" ref="J13:J16" si="8">+H13/F13</f>
        <v>0.11666666666666667</v>
      </c>
      <c r="K13" s="205">
        <f>+(G13/F13)*E13</f>
        <v>3.4999999999999996E-2</v>
      </c>
      <c r="L13" s="205">
        <f t="shared" ref="L13:L16" si="9">+(H13/F13)*E13</f>
        <v>3.4999999999999996E-2</v>
      </c>
      <c r="M13" s="199">
        <v>350</v>
      </c>
      <c r="N13" s="608">
        <v>0</v>
      </c>
      <c r="O13" s="608">
        <v>160</v>
      </c>
      <c r="P13" s="608">
        <v>155</v>
      </c>
      <c r="Q13" s="608">
        <v>58</v>
      </c>
      <c r="R13" s="608">
        <v>0</v>
      </c>
      <c r="S13" s="199">
        <f t="shared" si="0"/>
        <v>373</v>
      </c>
      <c r="T13" s="199">
        <f t="shared" ref="T13:T16" si="10">+S13+M13</f>
        <v>723</v>
      </c>
      <c r="U13" s="223">
        <f>+(M13/G13)</f>
        <v>1</v>
      </c>
      <c r="V13" s="223">
        <v>1</v>
      </c>
      <c r="W13" s="223">
        <f>+U13*E13</f>
        <v>0.3</v>
      </c>
      <c r="X13" s="223">
        <f t="shared" si="6"/>
        <v>0.3</v>
      </c>
      <c r="Y13" s="223">
        <f>+M13/F13</f>
        <v>0.11666666666666667</v>
      </c>
      <c r="Z13" s="223">
        <f>+T13/F13</f>
        <v>0.24099999999999999</v>
      </c>
      <c r="AA13" s="223">
        <f>+Y13*E13</f>
        <v>3.4999999999999996E-2</v>
      </c>
      <c r="AB13" s="205">
        <f>+Z13*E13</f>
        <v>7.2299999999999989E-2</v>
      </c>
      <c r="AC13" s="283" t="s">
        <v>1852</v>
      </c>
      <c r="AD13" s="724" t="s">
        <v>1951</v>
      </c>
      <c r="AE13" s="642" t="s">
        <v>2277</v>
      </c>
      <c r="AF13" s="642" t="s">
        <v>2296</v>
      </c>
      <c r="AG13" s="932" t="s">
        <v>2412</v>
      </c>
      <c r="AH13" s="932" t="s">
        <v>2449</v>
      </c>
      <c r="AI13" s="618" t="s">
        <v>1865</v>
      </c>
    </row>
    <row r="14" spans="1:113" ht="67.2" customHeight="1" thickBot="1" x14ac:dyDescent="0.4">
      <c r="A14" s="301"/>
      <c r="B14" s="1253" t="s">
        <v>963</v>
      </c>
      <c r="C14" s="1253" t="s">
        <v>1167</v>
      </c>
      <c r="D14" s="212" t="s">
        <v>964</v>
      </c>
      <c r="E14" s="264">
        <v>0.2</v>
      </c>
      <c r="F14" s="723">
        <v>6</v>
      </c>
      <c r="G14" s="199">
        <v>1</v>
      </c>
      <c r="H14" s="199">
        <v>1</v>
      </c>
      <c r="I14" s="205">
        <f>+G14/F14</f>
        <v>0.16666666666666666</v>
      </c>
      <c r="J14" s="205">
        <f t="shared" si="8"/>
        <v>0.16666666666666666</v>
      </c>
      <c r="K14" s="205">
        <f>+(G14/F14)*E14</f>
        <v>3.3333333333333333E-2</v>
      </c>
      <c r="L14" s="205">
        <f t="shared" si="9"/>
        <v>3.3333333333333333E-2</v>
      </c>
      <c r="M14" s="199">
        <v>1</v>
      </c>
      <c r="N14" s="608">
        <v>0</v>
      </c>
      <c r="O14" s="608">
        <v>0.6</v>
      </c>
      <c r="P14" s="608">
        <v>0.2</v>
      </c>
      <c r="Q14" s="608">
        <v>0.2</v>
      </c>
      <c r="R14" s="608">
        <v>0</v>
      </c>
      <c r="S14" s="199">
        <f t="shared" si="0"/>
        <v>1</v>
      </c>
      <c r="T14" s="722">
        <f t="shared" si="10"/>
        <v>2</v>
      </c>
      <c r="U14" s="223">
        <f>+(M14/G14)</f>
        <v>1</v>
      </c>
      <c r="V14" s="223">
        <f t="shared" ref="V14:V15" si="11">+S14/H14</f>
        <v>1</v>
      </c>
      <c r="W14" s="223">
        <f>+U14*E14</f>
        <v>0.2</v>
      </c>
      <c r="X14" s="223">
        <f t="shared" si="6"/>
        <v>0.2</v>
      </c>
      <c r="Y14" s="223">
        <f>+M14/F14</f>
        <v>0.16666666666666666</v>
      </c>
      <c r="Z14" s="223">
        <f>+T14/F14</f>
        <v>0.33333333333333331</v>
      </c>
      <c r="AA14" s="223">
        <f>+Y14*E14</f>
        <v>3.3333333333333333E-2</v>
      </c>
      <c r="AB14" s="205">
        <f>+Z14*E14</f>
        <v>6.6666666666666666E-2</v>
      </c>
      <c r="AC14" s="283" t="s">
        <v>1852</v>
      </c>
      <c r="AD14" s="724" t="s">
        <v>1951</v>
      </c>
      <c r="AE14" s="642" t="s">
        <v>2277</v>
      </c>
      <c r="AF14" s="642" t="s">
        <v>2296</v>
      </c>
      <c r="AG14" s="932" t="s">
        <v>2412</v>
      </c>
      <c r="AH14" s="932" t="s">
        <v>2449</v>
      </c>
      <c r="AI14" s="618" t="s">
        <v>1865</v>
      </c>
    </row>
    <row r="15" spans="1:113" ht="67.2" customHeight="1" thickBot="1" x14ac:dyDescent="0.4">
      <c r="A15" s="301"/>
      <c r="B15" s="1253" t="s">
        <v>965</v>
      </c>
      <c r="C15" s="1253" t="s">
        <v>1168</v>
      </c>
      <c r="D15" s="212" t="s">
        <v>964</v>
      </c>
      <c r="E15" s="264">
        <v>0.2</v>
      </c>
      <c r="F15" s="723">
        <v>6</v>
      </c>
      <c r="G15" s="199">
        <v>1</v>
      </c>
      <c r="H15" s="199">
        <v>1</v>
      </c>
      <c r="I15" s="205">
        <f>+G15/F15</f>
        <v>0.16666666666666666</v>
      </c>
      <c r="J15" s="205">
        <f t="shared" si="8"/>
        <v>0.16666666666666666</v>
      </c>
      <c r="K15" s="205">
        <f>+(G15/F15)*E15</f>
        <v>3.3333333333333333E-2</v>
      </c>
      <c r="L15" s="205">
        <f t="shared" si="9"/>
        <v>3.3333333333333333E-2</v>
      </c>
      <c r="M15" s="199">
        <v>1</v>
      </c>
      <c r="N15" s="608">
        <v>0</v>
      </c>
      <c r="O15" s="608">
        <v>0.5</v>
      </c>
      <c r="P15" s="608">
        <v>0.4</v>
      </c>
      <c r="Q15" s="608">
        <v>0.1</v>
      </c>
      <c r="R15" s="608">
        <v>0</v>
      </c>
      <c r="S15" s="199">
        <f t="shared" si="0"/>
        <v>1</v>
      </c>
      <c r="T15" s="199">
        <f t="shared" si="10"/>
        <v>2</v>
      </c>
      <c r="U15" s="223">
        <f>+(M15/G15)</f>
        <v>1</v>
      </c>
      <c r="V15" s="223">
        <f t="shared" si="11"/>
        <v>1</v>
      </c>
      <c r="W15" s="223">
        <f>+U15*E15</f>
        <v>0.2</v>
      </c>
      <c r="X15" s="223">
        <f t="shared" si="6"/>
        <v>0.2</v>
      </c>
      <c r="Y15" s="223">
        <f>+M15/F15</f>
        <v>0.16666666666666666</v>
      </c>
      <c r="Z15" s="223">
        <f t="shared" ref="Z15" si="12">+T15/F15</f>
        <v>0.33333333333333331</v>
      </c>
      <c r="AA15" s="223">
        <f>+Y15*E15</f>
        <v>3.3333333333333333E-2</v>
      </c>
      <c r="AB15" s="205">
        <f>+Z15*E15</f>
        <v>6.6666666666666666E-2</v>
      </c>
      <c r="AC15" s="283" t="s">
        <v>1852</v>
      </c>
      <c r="AD15" s="726" t="s">
        <v>1951</v>
      </c>
      <c r="AE15" s="642" t="s">
        <v>2277</v>
      </c>
      <c r="AF15" s="642" t="s">
        <v>2296</v>
      </c>
      <c r="AG15" s="932" t="s">
        <v>2412</v>
      </c>
      <c r="AH15" s="932" t="s">
        <v>2449</v>
      </c>
      <c r="AI15" s="618" t="s">
        <v>1865</v>
      </c>
    </row>
    <row r="16" spans="1:113" ht="67.2" customHeight="1" thickBot="1" x14ac:dyDescent="0.4">
      <c r="A16" s="301"/>
      <c r="B16" s="1253" t="s">
        <v>966</v>
      </c>
      <c r="C16" s="1253" t="s">
        <v>1169</v>
      </c>
      <c r="D16" s="212" t="s">
        <v>964</v>
      </c>
      <c r="E16" s="264">
        <v>0.3</v>
      </c>
      <c r="F16" s="262">
        <v>50</v>
      </c>
      <c r="G16" s="199">
        <v>24</v>
      </c>
      <c r="H16" s="199">
        <v>8</v>
      </c>
      <c r="I16" s="205">
        <f>+G16/F16</f>
        <v>0.48</v>
      </c>
      <c r="J16" s="205">
        <f t="shared" si="8"/>
        <v>0.16</v>
      </c>
      <c r="K16" s="205">
        <f>+(G16/F16)*E16</f>
        <v>0.14399999999999999</v>
      </c>
      <c r="L16" s="205">
        <f t="shared" si="9"/>
        <v>4.8000000000000001E-2</v>
      </c>
      <c r="M16" s="199">
        <v>24</v>
      </c>
      <c r="N16" s="608">
        <v>26</v>
      </c>
      <c r="O16" s="608">
        <v>1</v>
      </c>
      <c r="P16" s="608">
        <v>3</v>
      </c>
      <c r="Q16" s="608">
        <v>2</v>
      </c>
      <c r="R16" s="608">
        <v>0</v>
      </c>
      <c r="S16" s="199">
        <f t="shared" si="0"/>
        <v>32</v>
      </c>
      <c r="T16" s="199">
        <f t="shared" si="10"/>
        <v>56</v>
      </c>
      <c r="U16" s="223">
        <f>+(M16/G16)</f>
        <v>1</v>
      </c>
      <c r="V16" s="223">
        <v>1</v>
      </c>
      <c r="W16" s="223">
        <f>+U16*E16</f>
        <v>0.3</v>
      </c>
      <c r="X16" s="223">
        <f t="shared" si="6"/>
        <v>0.3</v>
      </c>
      <c r="Y16" s="223">
        <f>+M16/F16</f>
        <v>0.48</v>
      </c>
      <c r="Z16" s="223">
        <v>1</v>
      </c>
      <c r="AA16" s="223">
        <f>+Y16*E16</f>
        <v>0.14399999999999999</v>
      </c>
      <c r="AB16" s="205">
        <f>+Z16*E16</f>
        <v>0.3</v>
      </c>
      <c r="AC16" s="725" t="s">
        <v>1852</v>
      </c>
      <c r="AD16" s="662" t="s">
        <v>1908</v>
      </c>
      <c r="AE16" s="252"/>
      <c r="AF16" s="642" t="s">
        <v>2316</v>
      </c>
      <c r="AG16" s="932" t="s">
        <v>2412</v>
      </c>
      <c r="AH16" s="932" t="s">
        <v>2449</v>
      </c>
      <c r="AI16" s="618" t="s">
        <v>1865</v>
      </c>
    </row>
    <row r="17" spans="1:35" ht="99" customHeight="1" thickBot="1" x14ac:dyDescent="0.4">
      <c r="A17" s="301"/>
      <c r="B17" s="1336" t="s">
        <v>1823</v>
      </c>
      <c r="C17" s="1324"/>
      <c r="D17" s="303"/>
      <c r="E17" s="270">
        <v>0.2</v>
      </c>
      <c r="F17" s="304">
        <f>+E17*W17</f>
        <v>0.14985474006116206</v>
      </c>
      <c r="G17" s="192"/>
      <c r="H17" s="304">
        <f>+E17*X17</f>
        <v>0.17777623529411765</v>
      </c>
      <c r="I17" s="190">
        <f>+(I18+I23+I26+I30+I32+I36+I40+I43)/6</f>
        <v>0.19706348655814188</v>
      </c>
      <c r="J17" s="190">
        <f>+(J18+J23+J26+J30+J32+J36+J40+J43)/7</f>
        <v>0.30753522141119316</v>
      </c>
      <c r="K17" s="191">
        <f>+(K18+K23+K26+K30+K32+K36+K40+K43)/6</f>
        <v>0.16739826874293517</v>
      </c>
      <c r="L17" s="191">
        <f>+(L18+L23+L26+L30+L32+L36+L40+L43)/8</f>
        <v>0.26339477894605123</v>
      </c>
      <c r="M17" s="192"/>
      <c r="N17" s="192"/>
      <c r="O17" s="192"/>
      <c r="P17" s="192"/>
      <c r="Q17" s="192"/>
      <c r="R17" s="251"/>
      <c r="S17" s="1181"/>
      <c r="T17" s="192"/>
      <c r="U17" s="190">
        <f>+(U18+U23+U26+U30+U32+U36+U40+U43)/6</f>
        <v>0.92647808358817529</v>
      </c>
      <c r="V17" s="190">
        <f>+(V18+V23+V26+V30+V32+V36+V40+V43)/7</f>
        <v>0.91702987861811391</v>
      </c>
      <c r="W17" s="191">
        <f>+W18+W23+W26+W30+W32+W36+W40+W43</f>
        <v>0.74927370030581031</v>
      </c>
      <c r="X17" s="191">
        <f>+X18+X23+X26+X30+X32+X36+X40+X43</f>
        <v>0.88888117647058817</v>
      </c>
      <c r="Y17" s="190">
        <f>(Y18+Y23+Y26+Y30+Y32+Y36+Y40+Y43)/6</f>
        <v>0.19974545886160069</v>
      </c>
      <c r="Z17" s="190">
        <f>(Z18+Z23+Z26+Z30+Z32+Z36+Z40+Z43)/8</f>
        <v>0.46666914224150913</v>
      </c>
      <c r="AA17" s="305">
        <f>(AA18+AA23+AA26+AA30+AA32+AA36+AA40+AA43)</f>
        <v>0.14653217466808169</v>
      </c>
      <c r="AB17" s="305">
        <f>(AB18*E18+AB23*E23+AB26*E26+AB30*E30+AB32*E32+AB36*E36+AB40*E40+AB43*E43)</f>
        <v>0.52144215270407368</v>
      </c>
      <c r="AC17" s="192"/>
      <c r="AD17" s="727" t="s">
        <v>1890</v>
      </c>
      <c r="AE17" s="192"/>
      <c r="AF17" s="192"/>
      <c r="AG17" s="683"/>
      <c r="AH17" s="192"/>
      <c r="AI17" s="186"/>
    </row>
    <row r="18" spans="1:35" ht="67.2" customHeight="1" thickBot="1" x14ac:dyDescent="0.4">
      <c r="A18" s="301"/>
      <c r="B18" s="1340" t="s">
        <v>1755</v>
      </c>
      <c r="C18" s="1324"/>
      <c r="D18" s="303"/>
      <c r="E18" s="268">
        <v>0.15</v>
      </c>
      <c r="F18" s="252"/>
      <c r="G18" s="192"/>
      <c r="H18" s="192"/>
      <c r="I18" s="198">
        <f>+AVERAGE(I19:I22)</f>
        <v>0.27777777777777773</v>
      </c>
      <c r="J18" s="198">
        <f>+AVERAGE(J19:J22)</f>
        <v>0.29083333333333333</v>
      </c>
      <c r="K18" s="198">
        <f>+K19+K20+K21+K22</f>
        <v>0.27083333333333337</v>
      </c>
      <c r="L18" s="198">
        <f>+L19+L20+L21+L22</f>
        <v>0.28733333333333333</v>
      </c>
      <c r="M18" s="197"/>
      <c r="N18" s="197"/>
      <c r="O18" s="197"/>
      <c r="P18" s="197"/>
      <c r="Q18" s="197"/>
      <c r="R18" s="1218"/>
      <c r="S18" s="199"/>
      <c r="T18" s="197"/>
      <c r="U18" s="221">
        <f>+AVERAGE(U19:U22)</f>
        <v>1</v>
      </c>
      <c r="V18" s="221">
        <f>+AVERAGE(V19:V22)</f>
        <v>0.98</v>
      </c>
      <c r="W18" s="221">
        <f>+(W19+W20+W21+W22)*E18</f>
        <v>0.14249999999999999</v>
      </c>
      <c r="X18" s="221">
        <f>+(X19+X20+X21+X22)*E18</f>
        <v>0.14940000000000001</v>
      </c>
      <c r="Y18" s="198">
        <f>+AVERAGE(Y19:Y22)</f>
        <v>0.27777777777777773</v>
      </c>
      <c r="Z18" s="198">
        <f>+AVERAGE(Z19:Z22)</f>
        <v>0.62817499999999993</v>
      </c>
      <c r="AA18" s="198">
        <f>+(AA19+AA20+AA21+AA22)*E18</f>
        <v>4.0625000000000001E-2</v>
      </c>
      <c r="AB18" s="198">
        <f>+(AB19+AB20+AB21+AB22)</f>
        <v>0.70063500000000001</v>
      </c>
      <c r="AC18" s="192"/>
      <c r="AD18" s="192"/>
      <c r="AE18" s="192"/>
      <c r="AF18" s="192"/>
      <c r="AG18" s="683"/>
      <c r="AH18" s="192"/>
      <c r="AI18" s="186"/>
    </row>
    <row r="19" spans="1:35" ht="95.4" customHeight="1" thickBot="1" x14ac:dyDescent="0.4">
      <c r="A19" s="301"/>
      <c r="B19" s="905" t="s">
        <v>967</v>
      </c>
      <c r="C19" s="905" t="s">
        <v>1170</v>
      </c>
      <c r="D19" s="303" t="s">
        <v>516</v>
      </c>
      <c r="E19" s="264">
        <v>0.05</v>
      </c>
      <c r="F19" s="262">
        <v>1</v>
      </c>
      <c r="G19" s="199">
        <v>0.25</v>
      </c>
      <c r="H19" s="199">
        <v>0.25</v>
      </c>
      <c r="I19" s="205">
        <f>+G19/F19</f>
        <v>0.25</v>
      </c>
      <c r="J19" s="205">
        <f t="shared" ref="J19:J22" si="13">+H19/F19</f>
        <v>0.25</v>
      </c>
      <c r="K19" s="205">
        <f>+(G19/F19)*E19</f>
        <v>1.2500000000000001E-2</v>
      </c>
      <c r="L19" s="205">
        <f t="shared" ref="L19:L47" si="14">+(H19/F19)*E19</f>
        <v>1.2500000000000001E-2</v>
      </c>
      <c r="M19" s="235">
        <v>0.25</v>
      </c>
      <c r="N19" s="608">
        <v>0.05</v>
      </c>
      <c r="O19" s="608">
        <v>0.13</v>
      </c>
      <c r="P19" s="608">
        <v>0.02</v>
      </c>
      <c r="Q19" s="608">
        <v>0.03</v>
      </c>
      <c r="R19" s="272"/>
      <c r="S19" s="199">
        <f t="shared" si="0"/>
        <v>0.22999999999999998</v>
      </c>
      <c r="T19" s="199">
        <f t="shared" ref="T19:T22" si="15">+S19+M19</f>
        <v>0.48</v>
      </c>
      <c r="U19" s="223">
        <v>1</v>
      </c>
      <c r="V19" s="223">
        <f t="shared" ref="V19:V22" si="16">+S19/H19</f>
        <v>0.91999999999999993</v>
      </c>
      <c r="W19" s="223">
        <f>+U19*E19</f>
        <v>0.05</v>
      </c>
      <c r="X19" s="223">
        <f t="shared" ref="X19:X22" si="17">+V19*E19</f>
        <v>4.5999999999999999E-2</v>
      </c>
      <c r="Y19" s="223">
        <f>+M19/F19</f>
        <v>0.25</v>
      </c>
      <c r="Z19" s="223">
        <f t="shared" ref="Z19:Z22" si="18">+T19/F19</f>
        <v>0.48</v>
      </c>
      <c r="AA19" s="223">
        <f>+Y19*E19</f>
        <v>1.2500000000000001E-2</v>
      </c>
      <c r="AB19" s="205">
        <f>+Z19*E19</f>
        <v>2.4E-2</v>
      </c>
      <c r="AC19" s="283" t="s">
        <v>1852</v>
      </c>
      <c r="AD19" s="618" t="s">
        <v>1949</v>
      </c>
      <c r="AE19" s="192"/>
      <c r="AF19" s="642" t="s">
        <v>2296</v>
      </c>
      <c r="AG19" s="932" t="s">
        <v>2412</v>
      </c>
      <c r="AH19" s="932" t="s">
        <v>2449</v>
      </c>
      <c r="AI19" s="618" t="s">
        <v>1865</v>
      </c>
    </row>
    <row r="20" spans="1:35" ht="136.94999999999999" customHeight="1" thickBot="1" x14ac:dyDescent="0.4">
      <c r="A20" s="301"/>
      <c r="B20" s="905" t="s">
        <v>968</v>
      </c>
      <c r="C20" s="905" t="s">
        <v>1171</v>
      </c>
      <c r="D20" s="303" t="s">
        <v>969</v>
      </c>
      <c r="E20" s="264">
        <v>0.05</v>
      </c>
      <c r="F20" s="262">
        <v>1</v>
      </c>
      <c r="G20" s="199">
        <v>0</v>
      </c>
      <c r="H20" s="199">
        <v>0.33</v>
      </c>
      <c r="I20" s="205"/>
      <c r="J20" s="205">
        <f t="shared" si="13"/>
        <v>0.33</v>
      </c>
      <c r="K20" s="205"/>
      <c r="L20" s="205">
        <f t="shared" si="14"/>
        <v>1.6500000000000001E-2</v>
      </c>
      <c r="M20" s="199"/>
      <c r="N20" s="608">
        <v>0</v>
      </c>
      <c r="O20" s="608">
        <v>6.4500000000000002E-2</v>
      </c>
      <c r="P20" s="608">
        <v>0.21410000000000001</v>
      </c>
      <c r="Q20" s="608">
        <v>0.25409999999999999</v>
      </c>
      <c r="R20" s="272"/>
      <c r="S20" s="199">
        <f t="shared" si="0"/>
        <v>0.53269999999999995</v>
      </c>
      <c r="T20" s="199">
        <f t="shared" si="15"/>
        <v>0.53269999999999995</v>
      </c>
      <c r="U20" s="223"/>
      <c r="V20" s="223">
        <v>1</v>
      </c>
      <c r="W20" s="223"/>
      <c r="X20" s="223">
        <f t="shared" si="17"/>
        <v>0.05</v>
      </c>
      <c r="Y20" s="223"/>
      <c r="Z20" s="223">
        <f t="shared" si="18"/>
        <v>0.53269999999999995</v>
      </c>
      <c r="AA20" s="223"/>
      <c r="AB20" s="205">
        <f>+Z20*E20</f>
        <v>2.6634999999999999E-2</v>
      </c>
      <c r="AC20" s="283" t="s">
        <v>1852</v>
      </c>
      <c r="AD20" s="661" t="s">
        <v>1920</v>
      </c>
      <c r="AE20" s="192"/>
      <c r="AF20" s="642" t="s">
        <v>2296</v>
      </c>
      <c r="AG20" s="924" t="s">
        <v>2393</v>
      </c>
      <c r="AH20" s="932" t="s">
        <v>2449</v>
      </c>
      <c r="AI20" s="618" t="s">
        <v>1865</v>
      </c>
    </row>
    <row r="21" spans="1:35" ht="97.2" customHeight="1" thickBot="1" x14ac:dyDescent="0.4">
      <c r="A21" s="301"/>
      <c r="B21" s="1014" t="s">
        <v>970</v>
      </c>
      <c r="C21" s="1014" t="s">
        <v>1172</v>
      </c>
      <c r="D21" s="303" t="s">
        <v>790</v>
      </c>
      <c r="E21" s="264">
        <v>0.4</v>
      </c>
      <c r="F21" s="262">
        <v>3</v>
      </c>
      <c r="G21" s="199">
        <v>1</v>
      </c>
      <c r="H21" s="199">
        <v>1</v>
      </c>
      <c r="I21" s="205">
        <f>+G21/F21</f>
        <v>0.33333333333333331</v>
      </c>
      <c r="J21" s="205">
        <f t="shared" si="13"/>
        <v>0.33333333333333331</v>
      </c>
      <c r="K21" s="205">
        <f>+(G21/F21)*E21</f>
        <v>0.13333333333333333</v>
      </c>
      <c r="L21" s="205">
        <f t="shared" si="14"/>
        <v>0.13333333333333333</v>
      </c>
      <c r="M21" s="199">
        <v>1</v>
      </c>
      <c r="N21" s="608">
        <v>1</v>
      </c>
      <c r="O21" s="608">
        <v>0.2</v>
      </c>
      <c r="P21" s="608">
        <v>0</v>
      </c>
      <c r="Q21" s="608">
        <v>0.8</v>
      </c>
      <c r="R21" s="608">
        <v>0</v>
      </c>
      <c r="S21" s="199">
        <f t="shared" si="0"/>
        <v>2</v>
      </c>
      <c r="T21" s="199">
        <f t="shared" si="15"/>
        <v>3</v>
      </c>
      <c r="U21" s="223">
        <f>+(M21/G21)</f>
        <v>1</v>
      </c>
      <c r="V21" s="223">
        <v>1</v>
      </c>
      <c r="W21" s="223">
        <f>+U21*E21</f>
        <v>0.4</v>
      </c>
      <c r="X21" s="223">
        <f t="shared" si="17"/>
        <v>0.4</v>
      </c>
      <c r="Y21" s="223">
        <f>+M21/F21</f>
        <v>0.33333333333333331</v>
      </c>
      <c r="Z21" s="223">
        <f t="shared" si="18"/>
        <v>1</v>
      </c>
      <c r="AA21" s="223">
        <f>+Y21*E21</f>
        <v>0.13333333333333333</v>
      </c>
      <c r="AB21" s="205">
        <f>+Z21*E21</f>
        <v>0.4</v>
      </c>
      <c r="AC21" s="283" t="s">
        <v>1852</v>
      </c>
      <c r="AD21" s="642" t="s">
        <v>1893</v>
      </c>
      <c r="AE21" s="642" t="s">
        <v>2277</v>
      </c>
      <c r="AF21" s="642" t="s">
        <v>2296</v>
      </c>
      <c r="AG21" s="642" t="s">
        <v>2296</v>
      </c>
      <c r="AH21" s="932" t="s">
        <v>2449</v>
      </c>
      <c r="AI21" s="932" t="s">
        <v>2564</v>
      </c>
    </row>
    <row r="22" spans="1:35" ht="81" customHeight="1" thickBot="1" x14ac:dyDescent="0.4">
      <c r="A22" s="301"/>
      <c r="B22" s="1242" t="s">
        <v>971</v>
      </c>
      <c r="C22" s="1242" t="s">
        <v>1173</v>
      </c>
      <c r="D22" s="303" t="s">
        <v>790</v>
      </c>
      <c r="E22" s="264">
        <v>0.5</v>
      </c>
      <c r="F22" s="262">
        <v>4</v>
      </c>
      <c r="G22" s="199">
        <v>1</v>
      </c>
      <c r="H22" s="199">
        <v>1</v>
      </c>
      <c r="I22" s="205">
        <f>+G22/F22</f>
        <v>0.25</v>
      </c>
      <c r="J22" s="205">
        <f t="shared" si="13"/>
        <v>0.25</v>
      </c>
      <c r="K22" s="205">
        <f>+(G22/F22)*E22</f>
        <v>0.125</v>
      </c>
      <c r="L22" s="205">
        <f t="shared" si="14"/>
        <v>0.125</v>
      </c>
      <c r="M22" s="199">
        <v>1</v>
      </c>
      <c r="N22" s="608">
        <v>0.25</v>
      </c>
      <c r="O22" s="608">
        <v>0.18</v>
      </c>
      <c r="P22" s="608">
        <v>0.32</v>
      </c>
      <c r="Q22" s="608">
        <v>0</v>
      </c>
      <c r="R22" s="608">
        <v>0.25</v>
      </c>
      <c r="S22" s="199">
        <f t="shared" si="0"/>
        <v>1</v>
      </c>
      <c r="T22" s="199">
        <f t="shared" si="15"/>
        <v>2</v>
      </c>
      <c r="U22" s="223">
        <f>+(M22/G22)</f>
        <v>1</v>
      </c>
      <c r="V22" s="223">
        <f t="shared" si="16"/>
        <v>1</v>
      </c>
      <c r="W22" s="223">
        <f>+U22*E22</f>
        <v>0.5</v>
      </c>
      <c r="X22" s="223">
        <f t="shared" si="17"/>
        <v>0.5</v>
      </c>
      <c r="Y22" s="223">
        <f>+M22/F22</f>
        <v>0.25</v>
      </c>
      <c r="Z22" s="223">
        <f t="shared" si="18"/>
        <v>0.5</v>
      </c>
      <c r="AA22" s="223">
        <f>+Y22*E22</f>
        <v>0.125</v>
      </c>
      <c r="AB22" s="205">
        <f>+Z22*E22</f>
        <v>0.25</v>
      </c>
      <c r="AC22" s="283" t="s">
        <v>1852</v>
      </c>
      <c r="AD22" s="642" t="s">
        <v>1893</v>
      </c>
      <c r="AE22" s="642" t="s">
        <v>2277</v>
      </c>
      <c r="AF22" s="642" t="s">
        <v>2296</v>
      </c>
      <c r="AG22" s="642" t="s">
        <v>2296</v>
      </c>
      <c r="AH22" s="932" t="s">
        <v>2449</v>
      </c>
      <c r="AI22" s="932" t="s">
        <v>2564</v>
      </c>
    </row>
    <row r="23" spans="1:35" ht="67.2" customHeight="1" thickBot="1" x14ac:dyDescent="0.4">
      <c r="A23" s="301"/>
      <c r="B23" s="1340" t="s">
        <v>1824</v>
      </c>
      <c r="C23" s="1324"/>
      <c r="D23" s="250"/>
      <c r="E23" s="268">
        <v>0.05</v>
      </c>
      <c r="F23" s="252"/>
      <c r="G23" s="192"/>
      <c r="H23" s="192"/>
      <c r="I23" s="198">
        <f>+AVERAGE(I24:I25)</f>
        <v>0.25</v>
      </c>
      <c r="J23" s="198">
        <f>+AVERAGE(J24:J25)</f>
        <v>0.25</v>
      </c>
      <c r="K23" s="198">
        <f>+K24+K25</f>
        <v>0.25</v>
      </c>
      <c r="L23" s="198">
        <f>+L24+L25</f>
        <v>0.25</v>
      </c>
      <c r="M23" s="197"/>
      <c r="N23" s="197"/>
      <c r="O23" s="197"/>
      <c r="P23" s="197"/>
      <c r="Q23" s="197"/>
      <c r="R23" s="1218"/>
      <c r="S23" s="199"/>
      <c r="T23" s="197"/>
      <c r="U23" s="221">
        <f>+AVERAGE(U24:U25)</f>
        <v>1</v>
      </c>
      <c r="V23" s="221">
        <f>+AVERAGE(V24:V25)</f>
        <v>1</v>
      </c>
      <c r="W23" s="221">
        <f>+(W24+W25)*E23</f>
        <v>0.05</v>
      </c>
      <c r="X23" s="221">
        <f>+(X24+X25)*E23</f>
        <v>0.05</v>
      </c>
      <c r="Y23" s="198">
        <f>+AVERAGE(Y24:Y25)</f>
        <v>0.25</v>
      </c>
      <c r="Z23" s="198">
        <f>+AVERAGE(Z24:Z25)</f>
        <v>0.53749999999999998</v>
      </c>
      <c r="AA23" s="198">
        <f>+(AA24+AA25)*E23</f>
        <v>1.2500000000000001E-2</v>
      </c>
      <c r="AB23" s="198">
        <f>+(AB24+AB25)</f>
        <v>0.55999999999999994</v>
      </c>
      <c r="AC23" s="192"/>
      <c r="AD23" s="192"/>
      <c r="AE23" s="192"/>
      <c r="AF23" s="192"/>
      <c r="AG23" s="683"/>
      <c r="AH23" s="192"/>
      <c r="AI23" s="186"/>
    </row>
    <row r="24" spans="1:35" ht="67.2" customHeight="1" thickBot="1" x14ac:dyDescent="0.4">
      <c r="A24" s="301"/>
      <c r="B24" s="1014" t="s">
        <v>972</v>
      </c>
      <c r="C24" s="1002" t="s">
        <v>1174</v>
      </c>
      <c r="D24" s="310" t="s">
        <v>1551</v>
      </c>
      <c r="E24" s="264">
        <v>0.8</v>
      </c>
      <c r="F24" s="262">
        <v>4</v>
      </c>
      <c r="G24" s="199">
        <v>1</v>
      </c>
      <c r="H24" s="199">
        <v>1</v>
      </c>
      <c r="I24" s="205">
        <f>+G24/F24</f>
        <v>0.25</v>
      </c>
      <c r="J24" s="205">
        <f t="shared" ref="J24:J25" si="19">+H24/F24</f>
        <v>0.25</v>
      </c>
      <c r="K24" s="205">
        <f>+(G24/F24)*E24</f>
        <v>0.2</v>
      </c>
      <c r="L24" s="205">
        <f t="shared" si="14"/>
        <v>0.2</v>
      </c>
      <c r="M24" s="199">
        <v>1</v>
      </c>
      <c r="N24" s="608"/>
      <c r="O24" s="608">
        <v>0.3</v>
      </c>
      <c r="P24" s="608">
        <v>0.6</v>
      </c>
      <c r="Q24" s="608">
        <v>0.2</v>
      </c>
      <c r="R24" s="608">
        <v>0.2</v>
      </c>
      <c r="S24" s="199">
        <f t="shared" si="0"/>
        <v>1.2999999999999998</v>
      </c>
      <c r="T24" s="199">
        <f t="shared" ref="T24:T25" si="20">+S24+M24</f>
        <v>2.2999999999999998</v>
      </c>
      <c r="U24" s="223">
        <f>+(M24/G24)</f>
        <v>1</v>
      </c>
      <c r="V24" s="223">
        <v>1</v>
      </c>
      <c r="W24" s="223">
        <f>+U24*E24</f>
        <v>0.8</v>
      </c>
      <c r="X24" s="223">
        <f t="shared" ref="X24:X25" si="21">+V24*E24</f>
        <v>0.8</v>
      </c>
      <c r="Y24" s="223">
        <f>+M24/F24</f>
        <v>0.25</v>
      </c>
      <c r="Z24" s="223">
        <f t="shared" ref="Z24:Z25" si="22">+T24/F24</f>
        <v>0.57499999999999996</v>
      </c>
      <c r="AA24" s="223">
        <f>+Y24*E24</f>
        <v>0.2</v>
      </c>
      <c r="AB24" s="223">
        <f>+Z24*E24</f>
        <v>0.45999999999999996</v>
      </c>
      <c r="AC24" s="283" t="s">
        <v>1852</v>
      </c>
      <c r="AD24" s="192"/>
      <c r="AE24" s="642" t="s">
        <v>2277</v>
      </c>
      <c r="AF24" s="642" t="s">
        <v>2296</v>
      </c>
      <c r="AG24" s="932" t="s">
        <v>2412</v>
      </c>
      <c r="AH24" s="932" t="s">
        <v>2449</v>
      </c>
      <c r="AI24" s="186"/>
    </row>
    <row r="25" spans="1:35" ht="67.2" customHeight="1" thickBot="1" x14ac:dyDescent="0.4">
      <c r="A25" s="301"/>
      <c r="B25" s="1014" t="s">
        <v>973</v>
      </c>
      <c r="C25" s="1014" t="s">
        <v>1175</v>
      </c>
      <c r="D25" s="310" t="s">
        <v>1551</v>
      </c>
      <c r="E25" s="307">
        <v>0.2</v>
      </c>
      <c r="F25" s="262">
        <v>4</v>
      </c>
      <c r="G25" s="199">
        <v>1</v>
      </c>
      <c r="H25" s="199">
        <v>1</v>
      </c>
      <c r="I25" s="205">
        <f>+G25/F25</f>
        <v>0.25</v>
      </c>
      <c r="J25" s="205">
        <f t="shared" si="19"/>
        <v>0.25</v>
      </c>
      <c r="K25" s="205">
        <f>+(G25/F25)*E25</f>
        <v>0.05</v>
      </c>
      <c r="L25" s="205">
        <f t="shared" si="14"/>
        <v>0.05</v>
      </c>
      <c r="M25" s="199">
        <v>1</v>
      </c>
      <c r="N25" s="608"/>
      <c r="O25" s="608">
        <v>0.5</v>
      </c>
      <c r="P25" s="608">
        <v>0.5</v>
      </c>
      <c r="Q25" s="608">
        <v>0</v>
      </c>
      <c r="R25" s="608">
        <v>0</v>
      </c>
      <c r="S25" s="199">
        <f t="shared" si="0"/>
        <v>1</v>
      </c>
      <c r="T25" s="199">
        <f t="shared" si="20"/>
        <v>2</v>
      </c>
      <c r="U25" s="223">
        <f>+(M25/G25)</f>
        <v>1</v>
      </c>
      <c r="V25" s="223">
        <f>+S25/H25</f>
        <v>1</v>
      </c>
      <c r="W25" s="223">
        <f>+U25*E25</f>
        <v>0.2</v>
      </c>
      <c r="X25" s="223">
        <f t="shared" si="21"/>
        <v>0.2</v>
      </c>
      <c r="Y25" s="223">
        <f>+M25/F25</f>
        <v>0.25</v>
      </c>
      <c r="Z25" s="223">
        <f t="shared" si="22"/>
        <v>0.5</v>
      </c>
      <c r="AA25" s="223">
        <f>+Y25*E25</f>
        <v>0.05</v>
      </c>
      <c r="AB25" s="223">
        <f>+Z25*E25</f>
        <v>0.1</v>
      </c>
      <c r="AC25" s="283" t="s">
        <v>1852</v>
      </c>
      <c r="AD25" s="192"/>
      <c r="AE25" s="642" t="s">
        <v>2277</v>
      </c>
      <c r="AF25" s="642" t="s">
        <v>2296</v>
      </c>
      <c r="AG25" s="932" t="s">
        <v>2412</v>
      </c>
      <c r="AH25" s="932" t="s">
        <v>2449</v>
      </c>
      <c r="AI25" s="186"/>
    </row>
    <row r="26" spans="1:35" ht="67.2" customHeight="1" thickBot="1" x14ac:dyDescent="0.4">
      <c r="A26" s="301"/>
      <c r="B26" s="1340" t="s">
        <v>1825</v>
      </c>
      <c r="C26" s="1324"/>
      <c r="D26" s="250"/>
      <c r="E26" s="309">
        <v>0.2</v>
      </c>
      <c r="F26" s="252"/>
      <c r="G26" s="192"/>
      <c r="H26" s="192"/>
      <c r="I26" s="198">
        <f>+AVERAGE(I27:I29)</f>
        <v>0.20186882933709449</v>
      </c>
      <c r="J26" s="198">
        <f>+AVERAGE(J27:J29)</f>
        <v>0.27736248236953459</v>
      </c>
      <c r="K26" s="198">
        <f>+K27+K28+K29</f>
        <v>0.17686882933709452</v>
      </c>
      <c r="L26" s="198">
        <f>+L27+L28+L29</f>
        <v>0.24104372355430184</v>
      </c>
      <c r="M26" s="197"/>
      <c r="N26" s="197"/>
      <c r="O26" s="197"/>
      <c r="P26" s="197"/>
      <c r="Q26" s="197"/>
      <c r="R26" s="1218"/>
      <c r="S26" s="199"/>
      <c r="T26" s="197"/>
      <c r="U26" s="221">
        <f>+AVERAGE(U27:U29)</f>
        <v>0.80886850152905199</v>
      </c>
      <c r="V26" s="221">
        <f>+AVERAGE(V27:V29)</f>
        <v>1</v>
      </c>
      <c r="W26" s="221">
        <f>+(W27+W28+W29)*E26</f>
        <v>0.14177370030581041</v>
      </c>
      <c r="X26" s="221">
        <f>+(X27+X28+X29)*E26</f>
        <v>0.2</v>
      </c>
      <c r="Y26" s="198">
        <f>+AVERAGE(Y27:Y29)</f>
        <v>0.17248472026328163</v>
      </c>
      <c r="Z26" s="198">
        <f>+AVERAGE(Z27:Z29)</f>
        <v>0.555892493339602</v>
      </c>
      <c r="AA26" s="198">
        <f>+(AA27+AA28+AA29)*E26</f>
        <v>2.9496944052656328E-2</v>
      </c>
      <c r="AB26" s="198">
        <f>+(AB27+AB28+AB29)</f>
        <v>0.53483874000940301</v>
      </c>
      <c r="AC26" s="192"/>
      <c r="AD26" s="192"/>
      <c r="AE26" s="192"/>
      <c r="AF26" s="192"/>
      <c r="AG26" s="683"/>
      <c r="AH26" s="192"/>
      <c r="AI26" s="186"/>
    </row>
    <row r="27" spans="1:35" ht="103.2" customHeight="1" thickBot="1" x14ac:dyDescent="0.4">
      <c r="A27" s="301"/>
      <c r="B27" s="1242" t="s">
        <v>974</v>
      </c>
      <c r="C27" s="1254" t="s">
        <v>1176</v>
      </c>
      <c r="D27" s="720" t="s">
        <v>975</v>
      </c>
      <c r="E27" s="274">
        <v>0.5</v>
      </c>
      <c r="F27" s="262">
        <v>10635</v>
      </c>
      <c r="G27" s="199">
        <v>1635</v>
      </c>
      <c r="H27" s="199">
        <v>3000</v>
      </c>
      <c r="I27" s="205">
        <f>+G27/F27</f>
        <v>0.15373765867418901</v>
      </c>
      <c r="J27" s="205">
        <f t="shared" ref="J27:J29" si="23">+H27/F27</f>
        <v>0.28208744710860367</v>
      </c>
      <c r="K27" s="205">
        <f>+(G27/F27)*E27</f>
        <v>7.6868829337094505E-2</v>
      </c>
      <c r="L27" s="205">
        <f t="shared" si="14"/>
        <v>0.14104372355430184</v>
      </c>
      <c r="M27" s="199">
        <v>1010</v>
      </c>
      <c r="N27" s="608">
        <v>154</v>
      </c>
      <c r="O27" s="608">
        <v>1606</v>
      </c>
      <c r="P27" s="608">
        <v>1102</v>
      </c>
      <c r="Q27" s="608">
        <v>570</v>
      </c>
      <c r="R27" s="608">
        <v>0</v>
      </c>
      <c r="S27" s="199">
        <f t="shared" si="0"/>
        <v>3432</v>
      </c>
      <c r="T27" s="199">
        <f t="shared" ref="T27:T29" si="24">+S27+M27</f>
        <v>4442</v>
      </c>
      <c r="U27" s="223">
        <f>+(M27/G27)</f>
        <v>0.61773700305810397</v>
      </c>
      <c r="V27" s="223">
        <v>1</v>
      </c>
      <c r="W27" s="223">
        <f>+U27*E27</f>
        <v>0.30886850152905199</v>
      </c>
      <c r="X27" s="223">
        <f t="shared" ref="X27:X29" si="25">+V27*E27</f>
        <v>0.5</v>
      </c>
      <c r="Y27" s="223">
        <f>+M27/F27</f>
        <v>9.496944052656324E-2</v>
      </c>
      <c r="Z27" s="223">
        <f t="shared" ref="Z27:Z29" si="26">+T27/F27</f>
        <v>0.41767748001880584</v>
      </c>
      <c r="AA27" s="223">
        <f>+Y27*E27</f>
        <v>4.748472026328162E-2</v>
      </c>
      <c r="AB27" s="223">
        <f>+Z27*E27</f>
        <v>0.20883874000940292</v>
      </c>
      <c r="AC27" s="311" t="s">
        <v>1865</v>
      </c>
      <c r="AD27" s="642" t="s">
        <v>1893</v>
      </c>
      <c r="AE27" s="642" t="s">
        <v>2277</v>
      </c>
      <c r="AF27" s="642" t="s">
        <v>2296</v>
      </c>
      <c r="AG27" s="932" t="s">
        <v>2412</v>
      </c>
      <c r="AH27" s="932" t="s">
        <v>2449</v>
      </c>
      <c r="AI27" s="932" t="s">
        <v>2564</v>
      </c>
    </row>
    <row r="28" spans="1:35" ht="67.2" customHeight="1" thickBot="1" x14ac:dyDescent="0.4">
      <c r="A28" s="301"/>
      <c r="B28" s="1242" t="s">
        <v>976</v>
      </c>
      <c r="C28" s="1254" t="s">
        <v>1177</v>
      </c>
      <c r="D28" s="720" t="s">
        <v>975</v>
      </c>
      <c r="E28" s="274">
        <v>0.4</v>
      </c>
      <c r="F28" s="262">
        <v>600</v>
      </c>
      <c r="G28" s="199">
        <v>150</v>
      </c>
      <c r="H28" s="199">
        <v>150</v>
      </c>
      <c r="I28" s="205">
        <f>+G28/F28</f>
        <v>0.25</v>
      </c>
      <c r="J28" s="205">
        <f t="shared" si="23"/>
        <v>0.25</v>
      </c>
      <c r="K28" s="205">
        <f>+(G28/F28)*E28</f>
        <v>0.1</v>
      </c>
      <c r="L28" s="205">
        <f t="shared" si="14"/>
        <v>0.1</v>
      </c>
      <c r="M28" s="199">
        <v>150</v>
      </c>
      <c r="N28" s="608">
        <v>42</v>
      </c>
      <c r="O28" s="608">
        <v>90</v>
      </c>
      <c r="P28" s="608">
        <v>60</v>
      </c>
      <c r="Q28" s="608">
        <v>60</v>
      </c>
      <c r="R28" s="608">
        <v>0</v>
      </c>
      <c r="S28" s="199">
        <f t="shared" si="0"/>
        <v>252</v>
      </c>
      <c r="T28" s="199">
        <f t="shared" si="24"/>
        <v>402</v>
      </c>
      <c r="U28" s="223">
        <f>+(M28/G28)</f>
        <v>1</v>
      </c>
      <c r="V28" s="223">
        <v>1</v>
      </c>
      <c r="W28" s="223">
        <f>+U28*E28</f>
        <v>0.4</v>
      </c>
      <c r="X28" s="223">
        <f t="shared" si="25"/>
        <v>0.4</v>
      </c>
      <c r="Y28" s="223">
        <f>+M28/F28</f>
        <v>0.25</v>
      </c>
      <c r="Z28" s="223">
        <f t="shared" si="26"/>
        <v>0.67</v>
      </c>
      <c r="AA28" s="223">
        <f>+Y28*E28</f>
        <v>0.1</v>
      </c>
      <c r="AB28" s="223">
        <f>+Z28*E28</f>
        <v>0.26800000000000002</v>
      </c>
      <c r="AC28" s="311" t="s">
        <v>1865</v>
      </c>
      <c r="AD28" s="642" t="s">
        <v>1893</v>
      </c>
      <c r="AE28" s="642" t="s">
        <v>2277</v>
      </c>
      <c r="AF28" s="642" t="s">
        <v>2296</v>
      </c>
      <c r="AG28" s="932" t="s">
        <v>2412</v>
      </c>
      <c r="AH28" s="932" t="s">
        <v>2449</v>
      </c>
      <c r="AI28" s="932" t="s">
        <v>2564</v>
      </c>
    </row>
    <row r="29" spans="1:35" ht="67.2" customHeight="1" thickBot="1" x14ac:dyDescent="0.4">
      <c r="A29" s="301"/>
      <c r="B29" s="1242" t="s">
        <v>977</v>
      </c>
      <c r="C29" s="1242" t="s">
        <v>1178</v>
      </c>
      <c r="D29" s="302" t="s">
        <v>975</v>
      </c>
      <c r="E29" s="264">
        <v>0.1</v>
      </c>
      <c r="F29" s="262">
        <v>1</v>
      </c>
      <c r="G29" s="199">
        <v>0</v>
      </c>
      <c r="H29" s="199">
        <v>0.3</v>
      </c>
      <c r="I29" s="205"/>
      <c r="J29" s="205">
        <f t="shared" si="23"/>
        <v>0.3</v>
      </c>
      <c r="K29" s="205"/>
      <c r="L29" s="205"/>
      <c r="M29" s="199"/>
      <c r="N29" s="608"/>
      <c r="O29" s="608"/>
      <c r="P29" s="608"/>
      <c r="Q29" s="608">
        <v>0.57999999999999996</v>
      </c>
      <c r="R29" s="608">
        <v>0</v>
      </c>
      <c r="S29" s="199">
        <f t="shared" si="0"/>
        <v>0.57999999999999996</v>
      </c>
      <c r="T29" s="199">
        <f t="shared" si="24"/>
        <v>0.57999999999999996</v>
      </c>
      <c r="U29" s="223"/>
      <c r="V29" s="223">
        <v>1</v>
      </c>
      <c r="W29" s="223"/>
      <c r="X29" s="223">
        <f t="shared" si="25"/>
        <v>0.1</v>
      </c>
      <c r="Y29" s="223"/>
      <c r="Z29" s="223">
        <f t="shared" si="26"/>
        <v>0.57999999999999996</v>
      </c>
      <c r="AA29" s="223"/>
      <c r="AB29" s="223">
        <f>+Z29*E29</f>
        <v>5.7999999999999996E-2</v>
      </c>
      <c r="AC29" s="283" t="s">
        <v>1852</v>
      </c>
      <c r="AD29" s="642" t="s">
        <v>1893</v>
      </c>
      <c r="AE29" s="912"/>
      <c r="AF29" s="642" t="s">
        <v>2296</v>
      </c>
      <c r="AG29" s="924" t="s">
        <v>2398</v>
      </c>
      <c r="AH29" s="932" t="s">
        <v>2449</v>
      </c>
      <c r="AI29" s="932" t="s">
        <v>2564</v>
      </c>
    </row>
    <row r="30" spans="1:35" ht="67.2" customHeight="1" thickBot="1" x14ac:dyDescent="0.4">
      <c r="A30" s="301"/>
      <c r="B30" s="1340" t="s">
        <v>1758</v>
      </c>
      <c r="C30" s="1324"/>
      <c r="D30" s="303"/>
      <c r="E30" s="309">
        <v>0.3</v>
      </c>
      <c r="F30" s="252"/>
      <c r="G30" s="192"/>
      <c r="H30" s="192"/>
      <c r="I30" s="198">
        <f>+AVERAGE(I31)</f>
        <v>0.06</v>
      </c>
      <c r="J30" s="198">
        <f>+AVERAGE(J31)</f>
        <v>0.06</v>
      </c>
      <c r="K30" s="198">
        <f>+K31</f>
        <v>0.06</v>
      </c>
      <c r="L30" s="198">
        <f>+L31</f>
        <v>0.06</v>
      </c>
      <c r="M30" s="197"/>
      <c r="N30" s="197"/>
      <c r="O30" s="197"/>
      <c r="P30" s="197"/>
      <c r="Q30" s="197"/>
      <c r="R30" s="1218"/>
      <c r="S30" s="199"/>
      <c r="T30" s="197"/>
      <c r="U30" s="221">
        <f>+AVERAGE(U31)</f>
        <v>1</v>
      </c>
      <c r="V30" s="221">
        <f>+AVERAGE(V31)</f>
        <v>1</v>
      </c>
      <c r="W30" s="221">
        <f>+(W31)*E30</f>
        <v>0.3</v>
      </c>
      <c r="X30" s="221">
        <f>+(X31)*E30</f>
        <v>0.3</v>
      </c>
      <c r="Y30" s="198">
        <f>+AVERAGE(Y31)</f>
        <v>0.15</v>
      </c>
      <c r="Z30" s="198">
        <f>+AVERAGE(Z31)</f>
        <v>0.62375999999999998</v>
      </c>
      <c r="AA30" s="198">
        <f>+(AA31)*E30</f>
        <v>4.4999999999999998E-2</v>
      </c>
      <c r="AB30" s="198">
        <f>+(AB31)</f>
        <v>0.62375999999999998</v>
      </c>
      <c r="AC30" s="192"/>
      <c r="AD30" s="192"/>
      <c r="AE30" s="192"/>
      <c r="AF30" s="192"/>
      <c r="AG30" s="683"/>
      <c r="AH30" s="602"/>
      <c r="AI30" s="186"/>
    </row>
    <row r="31" spans="1:35" ht="103.2" customHeight="1" thickBot="1" x14ac:dyDescent="0.4">
      <c r="A31" s="301"/>
      <c r="B31" s="1242" t="s">
        <v>978</v>
      </c>
      <c r="C31" s="1242" t="s">
        <v>1179</v>
      </c>
      <c r="D31" s="313" t="s">
        <v>969</v>
      </c>
      <c r="E31" s="274">
        <v>1</v>
      </c>
      <c r="F31" s="262">
        <v>5</v>
      </c>
      <c r="G31" s="199">
        <v>0.3</v>
      </c>
      <c r="H31" s="199">
        <v>0.3</v>
      </c>
      <c r="I31" s="205">
        <f>+G31/F31</f>
        <v>0.06</v>
      </c>
      <c r="J31" s="205">
        <f t="shared" ref="J31" si="27">+H31/F31</f>
        <v>0.06</v>
      </c>
      <c r="K31" s="205">
        <f>+(G31/F31)*E31</f>
        <v>0.06</v>
      </c>
      <c r="L31" s="205">
        <f t="shared" si="14"/>
        <v>0.06</v>
      </c>
      <c r="M31" s="199">
        <v>0.75</v>
      </c>
      <c r="N31" s="608">
        <v>0</v>
      </c>
      <c r="O31" s="608">
        <v>5.4600000000000003E-2</v>
      </c>
      <c r="P31" s="608">
        <v>0.20399999999999999</v>
      </c>
      <c r="Q31" s="608">
        <v>0.55079999999999996</v>
      </c>
      <c r="R31" s="608"/>
      <c r="S31" s="199">
        <f t="shared" si="0"/>
        <v>0.8093999999999999</v>
      </c>
      <c r="T31" s="199">
        <f t="shared" ref="T31" si="28">+S31+M31</f>
        <v>1.5593999999999999</v>
      </c>
      <c r="U31" s="223">
        <v>1</v>
      </c>
      <c r="V31" s="223">
        <v>1</v>
      </c>
      <c r="W31" s="223">
        <f>+U31*E31</f>
        <v>1</v>
      </c>
      <c r="X31" s="223">
        <f t="shared" ref="X31" si="29">+V31*E31</f>
        <v>1</v>
      </c>
      <c r="Y31" s="223">
        <f>+M31/F31</f>
        <v>0.15</v>
      </c>
      <c r="Z31" s="223">
        <f>+(T31/F31)*2</f>
        <v>0.62375999999999998</v>
      </c>
      <c r="AA31" s="223">
        <f>+Y31*E31</f>
        <v>0.15</v>
      </c>
      <c r="AB31" s="205">
        <f>+Z31*E31</f>
        <v>0.62375999999999998</v>
      </c>
      <c r="AC31" s="311" t="s">
        <v>1865</v>
      </c>
      <c r="AD31" s="661" t="s">
        <v>1950</v>
      </c>
      <c r="AE31" s="642" t="s">
        <v>2277</v>
      </c>
      <c r="AF31" s="642" t="s">
        <v>2296</v>
      </c>
      <c r="AG31" s="683"/>
      <c r="AH31" s="932" t="s">
        <v>2449</v>
      </c>
      <c r="AI31" s="932" t="s">
        <v>2564</v>
      </c>
    </row>
    <row r="32" spans="1:35" ht="67.2" customHeight="1" thickBot="1" x14ac:dyDescent="0.4">
      <c r="A32" s="301"/>
      <c r="B32" s="1340" t="s">
        <v>1759</v>
      </c>
      <c r="C32" s="1324"/>
      <c r="D32" s="303"/>
      <c r="E32" s="309">
        <v>0.05</v>
      </c>
      <c r="F32" s="252"/>
      <c r="G32" s="192"/>
      <c r="H32" s="192"/>
      <c r="I32" s="198"/>
      <c r="J32" s="198">
        <f>+AVERAGE(J33:J35)</f>
        <v>0.76666666666666661</v>
      </c>
      <c r="K32" s="198"/>
      <c r="L32" s="198">
        <f>+L33+L34+L35</f>
        <v>0.72</v>
      </c>
      <c r="M32" s="197"/>
      <c r="N32" s="197"/>
      <c r="O32" s="197"/>
      <c r="P32" s="197"/>
      <c r="Q32" s="197"/>
      <c r="R32" s="1218"/>
      <c r="S32" s="199"/>
      <c r="T32" s="197"/>
      <c r="U32" s="221"/>
      <c r="V32" s="221">
        <f>+AVERAGE(V33:V35)</f>
        <v>0.66666666666666663</v>
      </c>
      <c r="W32" s="221"/>
      <c r="X32" s="221">
        <f>+(X33+X34+X35)*E32</f>
        <v>0.03</v>
      </c>
      <c r="Y32" s="198"/>
      <c r="Z32" s="198">
        <f>+AVERAGE(Z33:Z35)</f>
        <v>0.66666666666666663</v>
      </c>
      <c r="AA32" s="198"/>
      <c r="AB32" s="198">
        <f>+(AB33+AB34+AB35)</f>
        <v>0.6</v>
      </c>
      <c r="AC32" s="192"/>
      <c r="AD32" s="192"/>
      <c r="AE32" s="192"/>
      <c r="AF32" s="192"/>
      <c r="AG32" s="683"/>
      <c r="AH32" s="192"/>
      <c r="AI32" s="186"/>
    </row>
    <row r="33" spans="1:35" ht="67.2" customHeight="1" thickBot="1" x14ac:dyDescent="0.4">
      <c r="A33" s="301"/>
      <c r="B33" s="1242" t="s">
        <v>979</v>
      </c>
      <c r="C33" s="1242" t="s">
        <v>1180</v>
      </c>
      <c r="D33" s="303" t="s">
        <v>516</v>
      </c>
      <c r="E33" s="264">
        <v>0.3</v>
      </c>
      <c r="F33" s="262">
        <v>1</v>
      </c>
      <c r="G33" s="199">
        <v>0</v>
      </c>
      <c r="H33" s="199">
        <v>1</v>
      </c>
      <c r="I33" s="205"/>
      <c r="J33" s="205">
        <f t="shared" ref="J33:J35" si="30">+H33/F33</f>
        <v>1</v>
      </c>
      <c r="K33" s="205"/>
      <c r="L33" s="205">
        <f t="shared" si="14"/>
        <v>0.3</v>
      </c>
      <c r="M33" s="199"/>
      <c r="N33" s="608">
        <v>0.25</v>
      </c>
      <c r="O33" s="608">
        <v>0.75</v>
      </c>
      <c r="P33" s="608">
        <v>0</v>
      </c>
      <c r="Q33" s="608">
        <v>0</v>
      </c>
      <c r="R33" s="608">
        <v>0</v>
      </c>
      <c r="S33" s="199">
        <f t="shared" si="0"/>
        <v>1</v>
      </c>
      <c r="T33" s="199">
        <f t="shared" ref="T33:T35" si="31">+S33+M33</f>
        <v>1</v>
      </c>
      <c r="U33" s="205"/>
      <c r="V33" s="205">
        <f t="shared" ref="V33:V35" si="32">+S33/H33</f>
        <v>1</v>
      </c>
      <c r="W33" s="205"/>
      <c r="X33" s="205">
        <f t="shared" ref="X33:X35" si="33">+V33*E33</f>
        <v>0.3</v>
      </c>
      <c r="Y33" s="205"/>
      <c r="Z33" s="205">
        <f t="shared" ref="Z33:Z35" si="34">+T33/F33</f>
        <v>1</v>
      </c>
      <c r="AA33" s="205"/>
      <c r="AB33" s="205">
        <f>+Z33*E33</f>
        <v>0.3</v>
      </c>
      <c r="AC33" s="283" t="s">
        <v>1852</v>
      </c>
      <c r="AD33" s="642" t="s">
        <v>1893</v>
      </c>
      <c r="AE33" s="912"/>
      <c r="AF33" s="642" t="s">
        <v>2316</v>
      </c>
      <c r="AG33" s="683"/>
      <c r="AH33" s="932" t="s">
        <v>2449</v>
      </c>
      <c r="AI33" s="932" t="s">
        <v>2564</v>
      </c>
    </row>
    <row r="34" spans="1:35" ht="67.2" customHeight="1" thickBot="1" x14ac:dyDescent="0.4">
      <c r="A34" s="301"/>
      <c r="B34" s="1242" t="s">
        <v>980</v>
      </c>
      <c r="C34" s="1242" t="s">
        <v>1181</v>
      </c>
      <c r="D34" s="303" t="s">
        <v>516</v>
      </c>
      <c r="E34" s="264">
        <v>0.3</v>
      </c>
      <c r="F34" s="262">
        <v>1</v>
      </c>
      <c r="G34" s="199">
        <v>0</v>
      </c>
      <c r="H34" s="199">
        <v>1</v>
      </c>
      <c r="I34" s="205"/>
      <c r="J34" s="205">
        <f t="shared" si="30"/>
        <v>1</v>
      </c>
      <c r="K34" s="205"/>
      <c r="L34" s="205">
        <f t="shared" si="14"/>
        <v>0.3</v>
      </c>
      <c r="M34" s="199"/>
      <c r="N34" s="608">
        <v>0.1</v>
      </c>
      <c r="O34" s="608">
        <v>0.9</v>
      </c>
      <c r="P34" s="608">
        <v>0</v>
      </c>
      <c r="Q34" s="608">
        <v>0</v>
      </c>
      <c r="R34" s="608">
        <v>0</v>
      </c>
      <c r="S34" s="199">
        <f t="shared" si="0"/>
        <v>1</v>
      </c>
      <c r="T34" s="199">
        <f t="shared" si="31"/>
        <v>1</v>
      </c>
      <c r="U34" s="205"/>
      <c r="V34" s="205">
        <f t="shared" si="32"/>
        <v>1</v>
      </c>
      <c r="W34" s="205"/>
      <c r="X34" s="205">
        <f t="shared" si="33"/>
        <v>0.3</v>
      </c>
      <c r="Y34" s="205"/>
      <c r="Z34" s="205">
        <f t="shared" si="34"/>
        <v>1</v>
      </c>
      <c r="AA34" s="205"/>
      <c r="AB34" s="205">
        <f>+Z34*E34</f>
        <v>0.3</v>
      </c>
      <c r="AC34" s="283" t="s">
        <v>1852</v>
      </c>
      <c r="AD34" s="642" t="s">
        <v>1893</v>
      </c>
      <c r="AE34" s="912"/>
      <c r="AF34" s="661" t="s">
        <v>1865</v>
      </c>
      <c r="AG34" s="925" t="s">
        <v>1865</v>
      </c>
      <c r="AH34" s="925" t="s">
        <v>1865</v>
      </c>
      <c r="AI34" s="932" t="s">
        <v>2564</v>
      </c>
    </row>
    <row r="35" spans="1:35" ht="131.4" customHeight="1" thickBot="1" x14ac:dyDescent="0.4">
      <c r="A35" s="301"/>
      <c r="B35" s="1242" t="s">
        <v>981</v>
      </c>
      <c r="C35" s="1242" t="s">
        <v>1182</v>
      </c>
      <c r="D35" s="303" t="s">
        <v>516</v>
      </c>
      <c r="E35" s="264">
        <v>0.4</v>
      </c>
      <c r="F35" s="262">
        <v>1</v>
      </c>
      <c r="G35" s="199">
        <v>0</v>
      </c>
      <c r="H35" s="199">
        <v>0.3</v>
      </c>
      <c r="I35" s="205"/>
      <c r="J35" s="205">
        <f t="shared" si="30"/>
        <v>0.3</v>
      </c>
      <c r="K35" s="205"/>
      <c r="L35" s="205">
        <f t="shared" si="14"/>
        <v>0.12</v>
      </c>
      <c r="M35" s="199"/>
      <c r="N35" s="608">
        <v>0</v>
      </c>
      <c r="O35" s="608">
        <v>0</v>
      </c>
      <c r="P35" s="608">
        <v>0</v>
      </c>
      <c r="Q35" s="608">
        <v>0</v>
      </c>
      <c r="R35" s="608">
        <v>0</v>
      </c>
      <c r="S35" s="199">
        <f t="shared" si="0"/>
        <v>0</v>
      </c>
      <c r="T35" s="199">
        <f t="shared" si="31"/>
        <v>0</v>
      </c>
      <c r="U35" s="205"/>
      <c r="V35" s="205">
        <f t="shared" si="32"/>
        <v>0</v>
      </c>
      <c r="W35" s="205"/>
      <c r="X35" s="205">
        <f t="shared" si="33"/>
        <v>0</v>
      </c>
      <c r="Y35" s="205"/>
      <c r="Z35" s="205">
        <f t="shared" si="34"/>
        <v>0</v>
      </c>
      <c r="AA35" s="205"/>
      <c r="AB35" s="205">
        <f>+Z35*E35</f>
        <v>0</v>
      </c>
      <c r="AC35" s="283" t="s">
        <v>1852</v>
      </c>
      <c r="AD35" s="642" t="s">
        <v>1893</v>
      </c>
      <c r="AE35" s="642" t="s">
        <v>2277</v>
      </c>
      <c r="AF35" s="661" t="s">
        <v>2317</v>
      </c>
      <c r="AG35" s="924" t="s">
        <v>2395</v>
      </c>
      <c r="AH35" s="925" t="s">
        <v>1865</v>
      </c>
      <c r="AI35" s="932" t="s">
        <v>2564</v>
      </c>
    </row>
    <row r="36" spans="1:35" ht="67.2" customHeight="1" thickBot="1" x14ac:dyDescent="0.4">
      <c r="A36" s="301"/>
      <c r="B36" s="1340" t="s">
        <v>1760</v>
      </c>
      <c r="C36" s="1324"/>
      <c r="D36" s="303"/>
      <c r="E36" s="268">
        <v>0.05</v>
      </c>
      <c r="F36" s="262"/>
      <c r="G36" s="192"/>
      <c r="H36" s="192"/>
      <c r="I36" s="198">
        <f>+AVERAGE(I37:I39)</f>
        <v>0.22500000000000001</v>
      </c>
      <c r="J36" s="198">
        <f>+AVERAGE(J37:J39)</f>
        <v>0.33</v>
      </c>
      <c r="K36" s="198">
        <f>+K37+K38+K39</f>
        <v>0.16250000000000001</v>
      </c>
      <c r="L36" s="198">
        <f>+L37+L38+L39</f>
        <v>0.34750000000000003</v>
      </c>
      <c r="M36" s="197"/>
      <c r="N36" s="197"/>
      <c r="O36" s="197"/>
      <c r="P36" s="197"/>
      <c r="Q36" s="197"/>
      <c r="R36" s="1218"/>
      <c r="S36" s="199"/>
      <c r="T36" s="197"/>
      <c r="U36" s="221">
        <f>+AVERAGE(U37:U39)</f>
        <v>0.75</v>
      </c>
      <c r="V36" s="221">
        <f>+AVERAGE(V37:V39)</f>
        <v>0.91176470588235292</v>
      </c>
      <c r="W36" s="221">
        <f>+(W37+W38+W39)*E36</f>
        <v>2.5000000000000001E-2</v>
      </c>
      <c r="X36" s="221">
        <f>+(X37+X38+X39)*E36</f>
        <v>4.6691176470588236E-2</v>
      </c>
      <c r="Y36" s="198">
        <f>+AVERAGE(Y37:Y39)</f>
        <v>0.17499999999999999</v>
      </c>
      <c r="Z36" s="198">
        <f>+AVERAGE(Z37:Z39)</f>
        <v>0.43</v>
      </c>
      <c r="AA36" s="198">
        <f>+(AA37+AA38+AA39)*E36</f>
        <v>5.6250000000000007E-3</v>
      </c>
      <c r="AB36" s="198">
        <f>+(AB37+AB38+AB39)</f>
        <v>0.45749999999999996</v>
      </c>
      <c r="AC36" s="192"/>
      <c r="AD36" s="192"/>
      <c r="AE36" s="192"/>
      <c r="AF36" s="192"/>
      <c r="AG36" s="683"/>
      <c r="AH36" s="192"/>
      <c r="AI36" s="186"/>
    </row>
    <row r="37" spans="1:35" ht="67.2" customHeight="1" thickBot="1" x14ac:dyDescent="0.4">
      <c r="A37" s="301"/>
      <c r="B37" s="1242" t="s">
        <v>982</v>
      </c>
      <c r="C37" s="1242" t="s">
        <v>1183</v>
      </c>
      <c r="D37" s="303" t="s">
        <v>516</v>
      </c>
      <c r="E37" s="264">
        <v>0.5</v>
      </c>
      <c r="F37" s="262">
        <v>5</v>
      </c>
      <c r="G37" s="199">
        <v>1</v>
      </c>
      <c r="H37" s="199">
        <v>2</v>
      </c>
      <c r="I37" s="205">
        <f>+G37/F37</f>
        <v>0.2</v>
      </c>
      <c r="J37" s="205">
        <f t="shared" ref="J37:J39" si="35">+H37/F37</f>
        <v>0.4</v>
      </c>
      <c r="K37" s="205">
        <f>+(G37/F37)*E37</f>
        <v>0.1</v>
      </c>
      <c r="L37" s="205">
        <f t="shared" si="14"/>
        <v>0.2</v>
      </c>
      <c r="M37" s="199">
        <v>0.5</v>
      </c>
      <c r="N37" s="608">
        <v>0.2</v>
      </c>
      <c r="O37" s="608">
        <v>0.97</v>
      </c>
      <c r="P37" s="608" t="s">
        <v>2427</v>
      </c>
      <c r="Q37" s="608">
        <v>0.6</v>
      </c>
      <c r="R37" s="608">
        <v>0</v>
      </c>
      <c r="S37" s="235">
        <f t="shared" si="0"/>
        <v>2.1999999999999997</v>
      </c>
      <c r="T37" s="199">
        <f t="shared" ref="T37:T39" si="36">+S37+M37</f>
        <v>2.6999999999999997</v>
      </c>
      <c r="U37" s="223">
        <f>+(M37/G37)</f>
        <v>0.5</v>
      </c>
      <c r="V37" s="223">
        <v>1</v>
      </c>
      <c r="W37" s="223">
        <f>+U37*E37</f>
        <v>0.25</v>
      </c>
      <c r="X37" s="223">
        <f t="shared" ref="X37:X39" si="37">+V37*E37</f>
        <v>0.5</v>
      </c>
      <c r="Y37" s="223">
        <f>+M37/F37</f>
        <v>0.1</v>
      </c>
      <c r="Z37" s="223">
        <f t="shared" ref="Z37:Z39" si="38">+T37/F37</f>
        <v>0.53999999999999992</v>
      </c>
      <c r="AA37" s="223">
        <f>+Y37*E37</f>
        <v>0.05</v>
      </c>
      <c r="AB37" s="205">
        <f>+Z37*E37</f>
        <v>0.26999999999999996</v>
      </c>
      <c r="AC37" s="283" t="s">
        <v>1852</v>
      </c>
      <c r="AD37" s="642" t="s">
        <v>1893</v>
      </c>
      <c r="AE37" s="642" t="s">
        <v>2277</v>
      </c>
      <c r="AF37" s="642" t="s">
        <v>2296</v>
      </c>
      <c r="AG37" s="932" t="s">
        <v>2412</v>
      </c>
      <c r="AH37" s="932" t="s">
        <v>2449</v>
      </c>
      <c r="AI37" s="932" t="s">
        <v>2564</v>
      </c>
    </row>
    <row r="38" spans="1:35" ht="67.2" customHeight="1" thickBot="1" x14ac:dyDescent="0.4">
      <c r="A38" s="301"/>
      <c r="B38" s="1242" t="s">
        <v>983</v>
      </c>
      <c r="C38" s="1242" t="s">
        <v>1184</v>
      </c>
      <c r="D38" s="303" t="s">
        <v>516</v>
      </c>
      <c r="E38" s="264">
        <v>0.25</v>
      </c>
      <c r="F38" s="262">
        <v>2</v>
      </c>
      <c r="G38" s="199">
        <v>0.5</v>
      </c>
      <c r="H38" s="199">
        <v>0.5</v>
      </c>
      <c r="I38" s="205">
        <f>+G38/F38</f>
        <v>0.25</v>
      </c>
      <c r="J38" s="205">
        <f t="shared" si="35"/>
        <v>0.25</v>
      </c>
      <c r="K38" s="205">
        <f>+(G38/F38)*E38</f>
        <v>6.25E-2</v>
      </c>
      <c r="L38" s="205">
        <f t="shared" si="14"/>
        <v>6.25E-2</v>
      </c>
      <c r="M38" s="199">
        <v>0.5</v>
      </c>
      <c r="N38" s="608">
        <v>0</v>
      </c>
      <c r="O38" s="608">
        <v>0.14099999999999999</v>
      </c>
      <c r="P38" s="608">
        <v>0.20899999999999999</v>
      </c>
      <c r="Q38" s="608">
        <v>0.1</v>
      </c>
      <c r="R38" s="608">
        <v>0.05</v>
      </c>
      <c r="S38" s="199">
        <f t="shared" si="0"/>
        <v>0.49999999999999994</v>
      </c>
      <c r="T38" s="199">
        <f t="shared" si="36"/>
        <v>1</v>
      </c>
      <c r="U38" s="223">
        <f>+(M38/G38)</f>
        <v>1</v>
      </c>
      <c r="V38" s="223">
        <f t="shared" ref="V38:V39" si="39">+S38/H38</f>
        <v>0.99999999999999989</v>
      </c>
      <c r="W38" s="223">
        <f>+U38*E38</f>
        <v>0.25</v>
      </c>
      <c r="X38" s="223">
        <f t="shared" si="37"/>
        <v>0.24999999999999997</v>
      </c>
      <c r="Y38" s="223">
        <f>+M38/F38</f>
        <v>0.25</v>
      </c>
      <c r="Z38" s="223">
        <f t="shared" si="38"/>
        <v>0.5</v>
      </c>
      <c r="AA38" s="223">
        <f>+Y38*E38</f>
        <v>6.25E-2</v>
      </c>
      <c r="AB38" s="205">
        <f>+Z38*E38</f>
        <v>0.125</v>
      </c>
      <c r="AC38" s="283" t="s">
        <v>1852</v>
      </c>
      <c r="AD38" s="642" t="s">
        <v>1893</v>
      </c>
      <c r="AE38" s="642" t="s">
        <v>2277</v>
      </c>
      <c r="AF38" s="642" t="s">
        <v>2296</v>
      </c>
      <c r="AG38" s="932" t="s">
        <v>2412</v>
      </c>
      <c r="AH38" s="932" t="s">
        <v>2449</v>
      </c>
      <c r="AI38" s="932" t="s">
        <v>2564</v>
      </c>
    </row>
    <row r="39" spans="1:35" ht="93.6" customHeight="1" thickBot="1" x14ac:dyDescent="0.4">
      <c r="A39" s="301"/>
      <c r="B39" s="1242" t="s">
        <v>984</v>
      </c>
      <c r="C39" s="1242" t="s">
        <v>1185</v>
      </c>
      <c r="D39" s="303" t="s">
        <v>516</v>
      </c>
      <c r="E39" s="264">
        <v>0.25</v>
      </c>
      <c r="F39" s="262">
        <v>1</v>
      </c>
      <c r="G39" s="199">
        <v>0</v>
      </c>
      <c r="H39" s="199">
        <v>0.34</v>
      </c>
      <c r="I39" s="205"/>
      <c r="J39" s="205">
        <f t="shared" si="35"/>
        <v>0.34</v>
      </c>
      <c r="K39" s="205"/>
      <c r="L39" s="205">
        <f t="shared" si="14"/>
        <v>8.5000000000000006E-2</v>
      </c>
      <c r="M39" s="199"/>
      <c r="N39" s="608">
        <v>0</v>
      </c>
      <c r="O39" s="608">
        <v>7.0000000000000007E-2</v>
      </c>
      <c r="P39" s="608">
        <v>0.08</v>
      </c>
      <c r="Q39" s="608">
        <v>0.1</v>
      </c>
      <c r="R39" s="608">
        <v>0</v>
      </c>
      <c r="S39" s="199">
        <f t="shared" si="0"/>
        <v>0.25</v>
      </c>
      <c r="T39" s="199">
        <f t="shared" si="36"/>
        <v>0.25</v>
      </c>
      <c r="U39" s="223"/>
      <c r="V39" s="223">
        <f t="shared" si="39"/>
        <v>0.73529411764705876</v>
      </c>
      <c r="W39" s="223"/>
      <c r="X39" s="223">
        <f t="shared" si="37"/>
        <v>0.18382352941176469</v>
      </c>
      <c r="Y39" s="223"/>
      <c r="Z39" s="223">
        <f t="shared" si="38"/>
        <v>0.25</v>
      </c>
      <c r="AA39" s="223"/>
      <c r="AB39" s="205">
        <f>+Z39*E39</f>
        <v>6.25E-2</v>
      </c>
      <c r="AC39" s="283" t="s">
        <v>1852</v>
      </c>
      <c r="AD39" s="661" t="s">
        <v>1920</v>
      </c>
      <c r="AE39" s="642" t="s">
        <v>2277</v>
      </c>
      <c r="AF39" s="661" t="s">
        <v>2315</v>
      </c>
      <c r="AG39" s="932" t="s">
        <v>2412</v>
      </c>
      <c r="AH39" s="932" t="s">
        <v>2449</v>
      </c>
      <c r="AI39" s="932" t="s">
        <v>2564</v>
      </c>
    </row>
    <row r="40" spans="1:35" ht="67.2" customHeight="1" thickBot="1" x14ac:dyDescent="0.4">
      <c r="A40" s="301"/>
      <c r="B40" s="1340" t="s">
        <v>1761</v>
      </c>
      <c r="C40" s="1324"/>
      <c r="D40" s="303"/>
      <c r="E40" s="268">
        <v>0.05</v>
      </c>
      <c r="F40" s="252"/>
      <c r="G40" s="192"/>
      <c r="H40" s="192"/>
      <c r="I40" s="198"/>
      <c r="J40" s="198">
        <f>+AVERAGE(J41:J42)</f>
        <v>0</v>
      </c>
      <c r="K40" s="198"/>
      <c r="L40" s="198">
        <f>+L41+L42</f>
        <v>0</v>
      </c>
      <c r="M40" s="197"/>
      <c r="N40" s="197"/>
      <c r="O40" s="197"/>
      <c r="P40" s="197"/>
      <c r="Q40" s="197"/>
      <c r="R40" s="1218"/>
      <c r="S40" s="199"/>
      <c r="T40" s="197"/>
      <c r="U40" s="221"/>
      <c r="V40" s="221"/>
      <c r="W40" s="221"/>
      <c r="X40" s="221">
        <f>+(X41+X42)*E40</f>
        <v>0</v>
      </c>
      <c r="Y40" s="198"/>
      <c r="Z40" s="198">
        <f>+AVERAGE(Z41:Z42)</f>
        <v>0.05</v>
      </c>
      <c r="AA40" s="198"/>
      <c r="AB40" s="198">
        <f>+(AB41+AB42)</f>
        <v>0.05</v>
      </c>
      <c r="AC40" s="192"/>
      <c r="AD40" s="192"/>
      <c r="AE40" s="192"/>
      <c r="AF40" s="192"/>
      <c r="AG40" s="683"/>
      <c r="AH40" s="192"/>
      <c r="AI40" s="186"/>
    </row>
    <row r="41" spans="1:35" ht="103.2" customHeight="1" thickBot="1" x14ac:dyDescent="0.4">
      <c r="A41" s="301"/>
      <c r="B41" s="1242" t="s">
        <v>985</v>
      </c>
      <c r="C41" s="1242" t="s">
        <v>1186</v>
      </c>
      <c r="D41" s="303" t="s">
        <v>1550</v>
      </c>
      <c r="E41" s="264">
        <v>0.5</v>
      </c>
      <c r="F41" s="262">
        <v>1</v>
      </c>
      <c r="G41" s="199">
        <v>0</v>
      </c>
      <c r="H41" s="199">
        <v>0</v>
      </c>
      <c r="I41" s="205"/>
      <c r="J41" s="205">
        <f t="shared" ref="J41:J42" si="40">+H41/F41</f>
        <v>0</v>
      </c>
      <c r="K41" s="205"/>
      <c r="L41" s="205">
        <f t="shared" si="14"/>
        <v>0</v>
      </c>
      <c r="M41" s="199"/>
      <c r="N41" s="608"/>
      <c r="O41" s="608">
        <v>0.1</v>
      </c>
      <c r="P41" s="608">
        <v>0</v>
      </c>
      <c r="Q41" s="608">
        <v>0</v>
      </c>
      <c r="R41" s="608">
        <v>0</v>
      </c>
      <c r="S41" s="199">
        <f t="shared" si="0"/>
        <v>0.1</v>
      </c>
      <c r="T41" s="199">
        <f t="shared" ref="T41:T42" si="41">+S41+M41</f>
        <v>0.1</v>
      </c>
      <c r="U41" s="223"/>
      <c r="V41" s="223"/>
      <c r="W41" s="223"/>
      <c r="X41" s="223">
        <f t="shared" ref="X41:X42" si="42">+V41*E41</f>
        <v>0</v>
      </c>
      <c r="Y41" s="223"/>
      <c r="Z41" s="223">
        <f t="shared" ref="Z41:Z42" si="43">+T41/F41</f>
        <v>0.1</v>
      </c>
      <c r="AA41" s="205"/>
      <c r="AB41" s="205">
        <f>+Z41*E41</f>
        <v>0.05</v>
      </c>
      <c r="AC41" s="283" t="s">
        <v>1852</v>
      </c>
      <c r="AD41" s="719" t="s">
        <v>1952</v>
      </c>
      <c r="AE41" s="912"/>
      <c r="AF41" s="642" t="s">
        <v>2296</v>
      </c>
      <c r="AG41" s="924" t="s">
        <v>2394</v>
      </c>
      <c r="AH41" s="932" t="s">
        <v>2449</v>
      </c>
      <c r="AI41" s="932" t="s">
        <v>2564</v>
      </c>
    </row>
    <row r="42" spans="1:35" ht="85.2" customHeight="1" thickBot="1" x14ac:dyDescent="0.4">
      <c r="A42" s="301"/>
      <c r="B42" s="1242" t="s">
        <v>986</v>
      </c>
      <c r="C42" s="1242" t="s">
        <v>1187</v>
      </c>
      <c r="D42" s="303" t="s">
        <v>1550</v>
      </c>
      <c r="E42" s="264">
        <v>0.5</v>
      </c>
      <c r="F42" s="262">
        <v>1</v>
      </c>
      <c r="G42" s="199">
        <v>0</v>
      </c>
      <c r="H42" s="199">
        <v>0</v>
      </c>
      <c r="I42" s="205"/>
      <c r="J42" s="205">
        <f t="shared" si="40"/>
        <v>0</v>
      </c>
      <c r="K42" s="205"/>
      <c r="L42" s="205">
        <f t="shared" si="14"/>
        <v>0</v>
      </c>
      <c r="M42" s="199"/>
      <c r="N42" s="608"/>
      <c r="O42" s="608">
        <v>0</v>
      </c>
      <c r="P42" s="608">
        <v>0</v>
      </c>
      <c r="Q42" s="608">
        <v>0</v>
      </c>
      <c r="R42" s="608">
        <v>0</v>
      </c>
      <c r="S42" s="199">
        <f t="shared" si="0"/>
        <v>0</v>
      </c>
      <c r="T42" s="199">
        <f t="shared" si="41"/>
        <v>0</v>
      </c>
      <c r="U42" s="223"/>
      <c r="V42" s="223"/>
      <c r="W42" s="223"/>
      <c r="X42" s="223">
        <f t="shared" si="42"/>
        <v>0</v>
      </c>
      <c r="Y42" s="223"/>
      <c r="Z42" s="223">
        <f t="shared" si="43"/>
        <v>0</v>
      </c>
      <c r="AA42" s="205"/>
      <c r="AB42" s="205">
        <f>+Z42*E42</f>
        <v>0</v>
      </c>
      <c r="AC42" s="283" t="s">
        <v>1852</v>
      </c>
      <c r="AD42" s="719" t="s">
        <v>1952</v>
      </c>
      <c r="AE42" s="912"/>
      <c r="AF42" s="642" t="s">
        <v>2296</v>
      </c>
      <c r="AG42" s="924" t="s">
        <v>2394</v>
      </c>
      <c r="AH42" s="932" t="s">
        <v>2449</v>
      </c>
      <c r="AI42" s="932" t="s">
        <v>2564</v>
      </c>
    </row>
    <row r="43" spans="1:35" ht="67.2" customHeight="1" thickBot="1" x14ac:dyDescent="0.4">
      <c r="A43" s="301"/>
      <c r="B43" s="1340" t="s">
        <v>1762</v>
      </c>
      <c r="C43" s="1324"/>
      <c r="D43" s="303"/>
      <c r="E43" s="268">
        <v>0.15</v>
      </c>
      <c r="F43" s="252"/>
      <c r="G43" s="192"/>
      <c r="H43" s="192"/>
      <c r="I43" s="198">
        <f>+AVERAGE(I44:I47)</f>
        <v>0.16773431223397892</v>
      </c>
      <c r="J43" s="198">
        <f>+AVERAGE(J44:J47)</f>
        <v>0.17788406750881749</v>
      </c>
      <c r="K43" s="198">
        <f>+K44+K45+K46+K47</f>
        <v>8.4187449787183122E-2</v>
      </c>
      <c r="L43" s="198">
        <f>+L44+L45+L46+L47</f>
        <v>0.20128117468077469</v>
      </c>
      <c r="M43" s="197"/>
      <c r="N43" s="197"/>
      <c r="O43" s="197"/>
      <c r="P43" s="197"/>
      <c r="Q43" s="197"/>
      <c r="R43" s="1218"/>
      <c r="S43" s="199"/>
      <c r="T43" s="197"/>
      <c r="U43" s="221">
        <f>+AVERAGE(U44:U47)</f>
        <v>1</v>
      </c>
      <c r="V43" s="221">
        <f>+AVERAGE(V44:V47)</f>
        <v>0.86077777777777786</v>
      </c>
      <c r="W43" s="221">
        <f>+(W44+W45+W46+W47)*E43</f>
        <v>9.0000000000000011E-2</v>
      </c>
      <c r="X43" s="221">
        <f>+(X44+X45+X46+X47)*E43</f>
        <v>0.11279</v>
      </c>
      <c r="Y43" s="198">
        <f>+AVERAGE(Y44:Y47)</f>
        <v>0.17321025512854482</v>
      </c>
      <c r="Z43" s="198">
        <f>+AVERAGE(Z44:Z47)</f>
        <v>0.24135897792580469</v>
      </c>
      <c r="AA43" s="198">
        <f>+(AA44+AA45+AA46+AA47)*E43</f>
        <v>1.3285230615425379E-2</v>
      </c>
      <c r="AB43" s="198">
        <f>+(AB44+AB45+AB46+AB47)</f>
        <v>0.25917436468128752</v>
      </c>
      <c r="AC43" s="192"/>
      <c r="AD43" s="192"/>
      <c r="AE43" s="192"/>
      <c r="AF43" s="192"/>
      <c r="AG43" s="683"/>
      <c r="AH43" s="192"/>
      <c r="AI43" s="186"/>
    </row>
    <row r="44" spans="1:35" ht="95.4" customHeight="1" thickBot="1" x14ac:dyDescent="0.4">
      <c r="A44" s="301"/>
      <c r="B44" s="1014" t="s">
        <v>987</v>
      </c>
      <c r="C44" s="1014" t="s">
        <v>1188</v>
      </c>
      <c r="D44" s="303" t="s">
        <v>48</v>
      </c>
      <c r="E44" s="264">
        <v>0.3</v>
      </c>
      <c r="F44" s="262">
        <v>3</v>
      </c>
      <c r="G44" s="199">
        <v>0</v>
      </c>
      <c r="H44" s="199">
        <v>1</v>
      </c>
      <c r="I44" s="205"/>
      <c r="J44" s="205">
        <f t="shared" ref="J44:J47" si="44">+H44/F44</f>
        <v>0.33333333333333331</v>
      </c>
      <c r="K44" s="205"/>
      <c r="L44" s="205">
        <f t="shared" si="14"/>
        <v>9.9999999999999992E-2</v>
      </c>
      <c r="M44" s="199"/>
      <c r="N44" s="608">
        <v>0</v>
      </c>
      <c r="O44" s="608">
        <v>0</v>
      </c>
      <c r="P44" s="608">
        <v>0.56999999999999995</v>
      </c>
      <c r="Q44" s="608">
        <v>0.24</v>
      </c>
      <c r="R44" s="608">
        <v>0</v>
      </c>
      <c r="S44" s="199">
        <f t="shared" si="0"/>
        <v>0.80999999999999994</v>
      </c>
      <c r="T44" s="199">
        <f t="shared" ref="T44:T47" si="45">+S44+M44</f>
        <v>0.80999999999999994</v>
      </c>
      <c r="U44" s="223"/>
      <c r="V44" s="223">
        <f t="shared" ref="V44:V46" si="46">+S44/H44</f>
        <v>0.80999999999999994</v>
      </c>
      <c r="W44" s="223"/>
      <c r="X44" s="223">
        <f t="shared" ref="X44:X46" si="47">+V44*E44</f>
        <v>0.24299999999999997</v>
      </c>
      <c r="Y44" s="223"/>
      <c r="Z44" s="223">
        <f t="shared" ref="Z44:Z47" si="48">+T44/F44</f>
        <v>0.26999999999999996</v>
      </c>
      <c r="AA44" s="205"/>
      <c r="AB44" s="205">
        <f>+Z44*E44</f>
        <v>8.0999999999999989E-2</v>
      </c>
      <c r="AC44" s="283" t="s">
        <v>1852</v>
      </c>
      <c r="AD44" s="661" t="s">
        <v>1920</v>
      </c>
      <c r="AE44" s="642" t="s">
        <v>2277</v>
      </c>
      <c r="AF44" s="642" t="s">
        <v>2296</v>
      </c>
      <c r="AG44" s="932" t="s">
        <v>2412</v>
      </c>
      <c r="AH44" s="932" t="s">
        <v>2449</v>
      </c>
      <c r="AI44" s="932" t="s">
        <v>2564</v>
      </c>
    </row>
    <row r="45" spans="1:35" ht="67.2" customHeight="1" thickBot="1" x14ac:dyDescent="0.4">
      <c r="A45" s="301"/>
      <c r="B45" s="1014" t="s">
        <v>988</v>
      </c>
      <c r="C45" s="1014" t="s">
        <v>1189</v>
      </c>
      <c r="D45" s="303" t="s">
        <v>48</v>
      </c>
      <c r="E45" s="264">
        <v>0.2</v>
      </c>
      <c r="F45" s="262">
        <v>1</v>
      </c>
      <c r="G45" s="199">
        <v>0.25</v>
      </c>
      <c r="H45" s="199">
        <v>0.25</v>
      </c>
      <c r="I45" s="205">
        <f>+G45/F45</f>
        <v>0.25</v>
      </c>
      <c r="J45" s="205">
        <f t="shared" si="44"/>
        <v>0.25</v>
      </c>
      <c r="K45" s="205">
        <f>+(G45/F45)*E45</f>
        <v>0.05</v>
      </c>
      <c r="L45" s="205">
        <f t="shared" si="14"/>
        <v>0.05</v>
      </c>
      <c r="M45" s="608">
        <v>0.25</v>
      </c>
      <c r="N45" s="608">
        <v>0.04</v>
      </c>
      <c r="O45" s="608">
        <v>0.21</v>
      </c>
      <c r="P45" s="608">
        <v>0</v>
      </c>
      <c r="Q45" s="608">
        <v>0</v>
      </c>
      <c r="R45" s="608">
        <v>0</v>
      </c>
      <c r="S45" s="199">
        <f t="shared" si="0"/>
        <v>0.25</v>
      </c>
      <c r="T45" s="199">
        <f t="shared" si="45"/>
        <v>0.5</v>
      </c>
      <c r="U45" s="223">
        <f>+(M45/G45)</f>
        <v>1</v>
      </c>
      <c r="V45" s="223">
        <f t="shared" si="46"/>
        <v>1</v>
      </c>
      <c r="W45" s="223">
        <f>+U45*E45</f>
        <v>0.2</v>
      </c>
      <c r="X45" s="223">
        <f t="shared" si="47"/>
        <v>0.2</v>
      </c>
      <c r="Y45" s="223">
        <f>+M45/F45</f>
        <v>0.25</v>
      </c>
      <c r="Z45" s="223">
        <f t="shared" si="48"/>
        <v>0.5</v>
      </c>
      <c r="AA45" s="205">
        <f>+Y45*E45</f>
        <v>0.05</v>
      </c>
      <c r="AB45" s="205">
        <f>+Z45*E45</f>
        <v>0.1</v>
      </c>
      <c r="AC45" s="283" t="s">
        <v>1852</v>
      </c>
      <c r="AD45" s="642" t="s">
        <v>1893</v>
      </c>
      <c r="AE45" s="642" t="s">
        <v>2277</v>
      </c>
      <c r="AF45" s="642" t="s">
        <v>2296</v>
      </c>
      <c r="AG45" s="932" t="s">
        <v>2412</v>
      </c>
      <c r="AH45" s="932" t="s">
        <v>2449</v>
      </c>
      <c r="AI45" s="932" t="s">
        <v>2564</v>
      </c>
    </row>
    <row r="46" spans="1:35" ht="67.2" customHeight="1" thickBot="1" x14ac:dyDescent="0.4">
      <c r="A46" s="301"/>
      <c r="B46" s="1014" t="s">
        <v>989</v>
      </c>
      <c r="C46" s="1014" t="s">
        <v>1190</v>
      </c>
      <c r="D46" s="303" t="s">
        <v>48</v>
      </c>
      <c r="E46" s="264">
        <v>0.4</v>
      </c>
      <c r="F46" s="312">
        <v>117002000000</v>
      </c>
      <c r="G46" s="286">
        <v>10000000000</v>
      </c>
      <c r="H46" s="286">
        <v>15000000000</v>
      </c>
      <c r="I46" s="205">
        <f>+G46/F46</f>
        <v>8.5468624467957818E-2</v>
      </c>
      <c r="J46" s="205">
        <f t="shared" si="44"/>
        <v>0.12820293670193672</v>
      </c>
      <c r="K46" s="205">
        <f>+(G46/F46)*E46</f>
        <v>3.4187449787183126E-2</v>
      </c>
      <c r="L46" s="205">
        <f t="shared" si="14"/>
        <v>5.1281174680774692E-2</v>
      </c>
      <c r="M46" s="611">
        <v>11281392541.1</v>
      </c>
      <c r="N46" s="611">
        <v>1551000000</v>
      </c>
      <c r="O46" s="611">
        <v>4063000000</v>
      </c>
      <c r="P46" s="611">
        <v>2564000000</v>
      </c>
      <c r="Q46" s="611">
        <v>1832000000</v>
      </c>
      <c r="R46" s="611">
        <v>1575000000</v>
      </c>
      <c r="S46" s="286">
        <f t="shared" si="0"/>
        <v>11585000000</v>
      </c>
      <c r="T46" s="286">
        <f t="shared" si="45"/>
        <v>22866392541.099998</v>
      </c>
      <c r="U46" s="223">
        <v>1</v>
      </c>
      <c r="V46" s="223">
        <f t="shared" si="46"/>
        <v>0.77233333333333332</v>
      </c>
      <c r="W46" s="223">
        <f>+U46*E46</f>
        <v>0.4</v>
      </c>
      <c r="X46" s="223">
        <f t="shared" si="47"/>
        <v>0.30893333333333334</v>
      </c>
      <c r="Y46" s="223">
        <f>+M46/F46</f>
        <v>9.6420510257089628E-2</v>
      </c>
      <c r="Z46" s="223">
        <f t="shared" si="48"/>
        <v>0.19543591170321872</v>
      </c>
      <c r="AA46" s="205">
        <f>+Y46*E46</f>
        <v>3.8568204102835853E-2</v>
      </c>
      <c r="AB46" s="205">
        <f>+Z46*E46</f>
        <v>7.8174364681287495E-2</v>
      </c>
      <c r="AC46" s="283" t="s">
        <v>1852</v>
      </c>
      <c r="AD46" s="642" t="s">
        <v>1893</v>
      </c>
      <c r="AE46" s="642" t="s">
        <v>2277</v>
      </c>
      <c r="AF46" s="642" t="s">
        <v>2296</v>
      </c>
      <c r="AG46" s="924" t="s">
        <v>2378</v>
      </c>
      <c r="AH46" s="932" t="s">
        <v>2449</v>
      </c>
      <c r="AI46" s="932" t="s">
        <v>2564</v>
      </c>
    </row>
    <row r="47" spans="1:35" ht="93" customHeight="1" thickBot="1" x14ac:dyDescent="0.4">
      <c r="A47" s="301"/>
      <c r="B47" s="1014" t="s">
        <v>990</v>
      </c>
      <c r="C47" s="1014" t="s">
        <v>1191</v>
      </c>
      <c r="D47" s="303" t="s">
        <v>48</v>
      </c>
      <c r="E47" s="264">
        <v>0.1</v>
      </c>
      <c r="F47" s="262">
        <v>30</v>
      </c>
      <c r="G47" s="199">
        <v>0</v>
      </c>
      <c r="H47" s="199">
        <v>0</v>
      </c>
      <c r="I47" s="205"/>
      <c r="J47" s="205">
        <f t="shared" si="44"/>
        <v>0</v>
      </c>
      <c r="K47" s="205"/>
      <c r="L47" s="205">
        <f t="shared" si="14"/>
        <v>0</v>
      </c>
      <c r="M47" s="199"/>
      <c r="N47" s="608"/>
      <c r="O47" s="608"/>
      <c r="P47" s="608"/>
      <c r="Q47" s="608"/>
      <c r="R47" s="608"/>
      <c r="S47" s="199">
        <f t="shared" si="0"/>
        <v>0</v>
      </c>
      <c r="T47" s="199">
        <f t="shared" si="45"/>
        <v>0</v>
      </c>
      <c r="U47" s="205"/>
      <c r="V47" s="205"/>
      <c r="W47" s="205"/>
      <c r="X47" s="205"/>
      <c r="Y47" s="205"/>
      <c r="Z47" s="223">
        <f t="shared" si="48"/>
        <v>0</v>
      </c>
      <c r="AA47" s="205"/>
      <c r="AB47" s="205">
        <f>+Z47*E47</f>
        <v>0</v>
      </c>
      <c r="AC47" s="283" t="s">
        <v>1852</v>
      </c>
      <c r="AD47" s="661" t="s">
        <v>1920</v>
      </c>
      <c r="AE47" s="642" t="s">
        <v>2277</v>
      </c>
      <c r="AF47" s="642" t="s">
        <v>2296</v>
      </c>
      <c r="AG47" s="924" t="s">
        <v>2377</v>
      </c>
      <c r="AH47" s="932" t="s">
        <v>2449</v>
      </c>
      <c r="AI47" s="932" t="s">
        <v>2564</v>
      </c>
    </row>
    <row r="48" spans="1:35" ht="89.4" customHeight="1" thickBot="1" x14ac:dyDescent="0.4">
      <c r="A48" s="301"/>
      <c r="B48" s="1336" t="s">
        <v>1826</v>
      </c>
      <c r="C48" s="1324"/>
      <c r="D48" s="303"/>
      <c r="E48" s="270">
        <v>0.2</v>
      </c>
      <c r="F48" s="304">
        <f>+E48*W48</f>
        <v>0.18625993100110649</v>
      </c>
      <c r="G48" s="192"/>
      <c r="H48" s="304">
        <f>+E48*X48</f>
        <v>0.19371576548026975</v>
      </c>
      <c r="I48" s="190">
        <f>+(I49+I55)</f>
        <v>0.22689134534516447</v>
      </c>
      <c r="J48" s="190">
        <f>+(J49+J55)/2</f>
        <v>0.2540275605253442</v>
      </c>
      <c r="K48" s="191">
        <f>+(K49+K55)</f>
        <v>0.22571301967260979</v>
      </c>
      <c r="L48" s="191">
        <f>+(L49+L55)/2</f>
        <v>0.25432469935214241</v>
      </c>
      <c r="M48" s="192"/>
      <c r="N48" s="192"/>
      <c r="O48" s="192"/>
      <c r="P48" s="192"/>
      <c r="Q48" s="192"/>
      <c r="R48" s="251"/>
      <c r="S48" s="1181"/>
      <c r="T48" s="192"/>
      <c r="U48" s="190">
        <f>+(U49+U55)</f>
        <v>0.99015771316080659</v>
      </c>
      <c r="V48" s="190">
        <f>+(V49+V55)/2</f>
        <v>0.97863502988969042</v>
      </c>
      <c r="W48" s="191">
        <f>+W49+W55</f>
        <v>0.93129965500553247</v>
      </c>
      <c r="X48" s="191">
        <f>+X49+X55</f>
        <v>0.96857882740134871</v>
      </c>
      <c r="Y48" s="190">
        <f>(Y49+Y55)</f>
        <v>0.25580038172039926</v>
      </c>
      <c r="Z48" s="190">
        <f>(Z49+Z55)/2</f>
        <v>0.77712521124768763</v>
      </c>
      <c r="AA48" s="305">
        <f>(AA49+AA55)</f>
        <v>0.22738216072471779</v>
      </c>
      <c r="AB48" s="305">
        <f>(AB49*E49+AB55*E55)</f>
        <v>0.53668886120066794</v>
      </c>
      <c r="AC48" s="683"/>
      <c r="AD48" s="664" t="s">
        <v>1889</v>
      </c>
      <c r="AE48" s="252"/>
      <c r="AF48" s="192"/>
      <c r="AG48" s="683"/>
      <c r="AH48" s="192"/>
      <c r="AI48" s="186"/>
    </row>
    <row r="49" spans="1:35" ht="67.2" customHeight="1" thickBot="1" x14ac:dyDescent="0.4">
      <c r="A49" s="301"/>
      <c r="B49" s="1340" t="s">
        <v>1763</v>
      </c>
      <c r="C49" s="1324"/>
      <c r="D49" s="303"/>
      <c r="E49" s="268">
        <v>0.95</v>
      </c>
      <c r="F49" s="252"/>
      <c r="G49" s="192"/>
      <c r="H49" s="192"/>
      <c r="I49" s="198">
        <f>+AVERAGE(I50:I54)</f>
        <v>0.22689134534516447</v>
      </c>
      <c r="J49" s="198">
        <f>+AVERAGE(J50:J54)</f>
        <v>0.2580551210506884</v>
      </c>
      <c r="K49" s="198">
        <f>+K50+K51+K52+K53+K54</f>
        <v>0.22571301967260979</v>
      </c>
      <c r="L49" s="198">
        <f>+L50+L51+L52+L53+L54</f>
        <v>0.25864939870428477</v>
      </c>
      <c r="M49" s="197"/>
      <c r="N49" s="197"/>
      <c r="O49" s="197"/>
      <c r="P49" s="197"/>
      <c r="Q49" s="197"/>
      <c r="R49" s="1218"/>
      <c r="S49" s="199"/>
      <c r="T49" s="197"/>
      <c r="U49" s="221">
        <f>+AVERAGE(U50:U54)</f>
        <v>0.99015771316080659</v>
      </c>
      <c r="V49" s="221">
        <f>+AVERAGE(V50:V54)</f>
        <v>0.95727005977938084</v>
      </c>
      <c r="W49" s="221">
        <f>+(W50+W51+W52+W53+W54)*E49</f>
        <v>0.93129965500553247</v>
      </c>
      <c r="X49" s="221">
        <f>+(X50+X51+X52+X53+X54)*E49</f>
        <v>0.91857882740134866</v>
      </c>
      <c r="Y49" s="198">
        <f>+AVERAGE(Y50:Y54)</f>
        <v>0.25580038172039926</v>
      </c>
      <c r="Z49" s="198">
        <f>+AVERAGE(Z50:Z54)</f>
        <v>0.55425042249537515</v>
      </c>
      <c r="AA49" s="198">
        <f>+(AA50+AA51+AA52+AA53+AA54)*E49</f>
        <v>0.22738216072471779</v>
      </c>
      <c r="AB49" s="198">
        <f>+(AB50+AB51+AB52+AB53+AB54)</f>
        <v>0.51230406442175569</v>
      </c>
      <c r="AC49" s="192"/>
      <c r="AD49" s="684"/>
      <c r="AE49" s="192"/>
      <c r="AF49" s="933"/>
      <c r="AG49" s="683"/>
      <c r="AH49" s="192"/>
      <c r="AI49" s="186"/>
    </row>
    <row r="50" spans="1:35" ht="67.2" customHeight="1" thickBot="1" x14ac:dyDescent="0.4">
      <c r="A50" s="301"/>
      <c r="B50" s="1242" t="s">
        <v>991</v>
      </c>
      <c r="C50" s="1242" t="s">
        <v>1192</v>
      </c>
      <c r="D50" s="303" t="s">
        <v>683</v>
      </c>
      <c r="E50" s="264">
        <v>0.35</v>
      </c>
      <c r="F50" s="312">
        <v>1727905000000</v>
      </c>
      <c r="G50" s="286">
        <v>393165798563</v>
      </c>
      <c r="H50" s="286">
        <v>458399741720</v>
      </c>
      <c r="I50" s="205">
        <f>+G50/F50</f>
        <v>0.22753901317665035</v>
      </c>
      <c r="J50" s="205">
        <f t="shared" ref="J50:J56" si="49">+H50/F50</f>
        <v>0.26529221324088997</v>
      </c>
      <c r="K50" s="205">
        <f>+(G50/F50)*E50</f>
        <v>7.963865461182762E-2</v>
      </c>
      <c r="L50" s="205">
        <f t="shared" ref="L50:L56" si="50">+(H50/F50)*E50</f>
        <v>9.2852274634311491E-2</v>
      </c>
      <c r="M50" s="286">
        <v>423913849857</v>
      </c>
      <c r="N50" s="611">
        <v>215410301461</v>
      </c>
      <c r="O50" s="611">
        <v>115150898259</v>
      </c>
      <c r="P50" s="611">
        <v>42205839401</v>
      </c>
      <c r="Q50" s="611">
        <v>72764098003</v>
      </c>
      <c r="R50" s="611">
        <f>99664865867-Q50</f>
        <v>26900767864</v>
      </c>
      <c r="S50" s="611">
        <f t="shared" si="0"/>
        <v>472431904988</v>
      </c>
      <c r="T50" s="611">
        <f t="shared" ref="T50:T54" si="51">+S50+M50</f>
        <v>896345754845</v>
      </c>
      <c r="U50" s="223">
        <v>1</v>
      </c>
      <c r="V50" s="223">
        <v>1</v>
      </c>
      <c r="W50" s="223">
        <f>+U50*E50</f>
        <v>0.35</v>
      </c>
      <c r="X50" s="223">
        <f t="shared" ref="X50:X56" si="52">+V50*E50</f>
        <v>0.35</v>
      </c>
      <c r="Y50" s="223">
        <f>+M50/F50</f>
        <v>0.24533400265465982</v>
      </c>
      <c r="Z50" s="223">
        <f t="shared" ref="Z50:Z54" si="53">+T50/F50</f>
        <v>0.51874712721185479</v>
      </c>
      <c r="AA50" s="223">
        <f>+Y50*E50</f>
        <v>8.5866900929130935E-2</v>
      </c>
      <c r="AB50" s="205">
        <f>+Z50*E50</f>
        <v>0.18156149452414916</v>
      </c>
      <c r="AC50" s="283" t="s">
        <v>1852</v>
      </c>
      <c r="AD50" s="642" t="s">
        <v>1893</v>
      </c>
      <c r="AE50" s="932" t="s">
        <v>2277</v>
      </c>
      <c r="AF50" s="642" t="s">
        <v>2296</v>
      </c>
      <c r="AG50" s="932" t="s">
        <v>2412</v>
      </c>
      <c r="AH50" s="932" t="s">
        <v>2449</v>
      </c>
      <c r="AI50" s="932" t="s">
        <v>2564</v>
      </c>
    </row>
    <row r="51" spans="1:35" ht="67.2" customHeight="1" thickBot="1" x14ac:dyDescent="0.4">
      <c r="A51" s="301"/>
      <c r="B51" s="1242" t="s">
        <v>992</v>
      </c>
      <c r="C51" s="1242" t="s">
        <v>1193</v>
      </c>
      <c r="D51" s="303" t="s">
        <v>683</v>
      </c>
      <c r="E51" s="264">
        <v>0.4</v>
      </c>
      <c r="F51" s="312">
        <v>2912805184493</v>
      </c>
      <c r="G51" s="286">
        <v>662915926390</v>
      </c>
      <c r="H51" s="286">
        <v>732697266239</v>
      </c>
      <c r="I51" s="205">
        <f>+G51/F51</f>
        <v>0.22758677096538693</v>
      </c>
      <c r="J51" s="205">
        <f t="shared" si="49"/>
        <v>0.25154351898976468</v>
      </c>
      <c r="K51" s="205">
        <f>+(G51/F51)*E51</f>
        <v>9.1034708386154781E-2</v>
      </c>
      <c r="L51" s="205">
        <f t="shared" si="50"/>
        <v>0.10061740759590587</v>
      </c>
      <c r="M51" s="286">
        <v>630292882901</v>
      </c>
      <c r="N51" s="611">
        <v>81349836580</v>
      </c>
      <c r="O51" s="611">
        <v>148570009721</v>
      </c>
      <c r="P51" s="611">
        <v>102139673891</v>
      </c>
      <c r="Q51" s="611">
        <v>243572411261</v>
      </c>
      <c r="R51" s="611">
        <f>350001145363-Q51</f>
        <v>106428734102</v>
      </c>
      <c r="S51" s="611">
        <f t="shared" si="0"/>
        <v>682060665555</v>
      </c>
      <c r="T51" s="611">
        <f t="shared" si="51"/>
        <v>1312353548456</v>
      </c>
      <c r="U51" s="223">
        <f>+(M51/G51)</f>
        <v>0.95078856580403304</v>
      </c>
      <c r="V51" s="223">
        <f t="shared" ref="V51:V56" si="54">+S51/H51</f>
        <v>0.93089014656227376</v>
      </c>
      <c r="W51" s="223">
        <f>+U51*E51</f>
        <v>0.38031542632161325</v>
      </c>
      <c r="X51" s="223">
        <f t="shared" si="52"/>
        <v>0.3723560586249095</v>
      </c>
      <c r="Y51" s="223">
        <f>+M51/F51</f>
        <v>0.21638689956215118</v>
      </c>
      <c r="Z51" s="223">
        <f t="shared" si="53"/>
        <v>0.45054628282132331</v>
      </c>
      <c r="AA51" s="223">
        <f>+Y51*E51</f>
        <v>8.655475982486048E-2</v>
      </c>
      <c r="AB51" s="205">
        <f>+Z51*E51</f>
        <v>0.18021851312852932</v>
      </c>
      <c r="AC51" s="283" t="s">
        <v>1852</v>
      </c>
      <c r="AD51" s="642" t="s">
        <v>1893</v>
      </c>
      <c r="AE51" s="642" t="s">
        <v>2277</v>
      </c>
      <c r="AF51" s="642" t="s">
        <v>2296</v>
      </c>
      <c r="AG51" s="932" t="s">
        <v>2412</v>
      </c>
      <c r="AH51" s="932" t="s">
        <v>2449</v>
      </c>
      <c r="AI51" s="932" t="s">
        <v>2564</v>
      </c>
    </row>
    <row r="52" spans="1:35" ht="67.2" customHeight="1" thickBot="1" x14ac:dyDescent="0.4">
      <c r="A52" s="301"/>
      <c r="B52" s="1242" t="s">
        <v>993</v>
      </c>
      <c r="C52" s="1242" t="s">
        <v>1194</v>
      </c>
      <c r="D52" s="303" t="s">
        <v>683</v>
      </c>
      <c r="E52" s="264">
        <v>0.08</v>
      </c>
      <c r="F52" s="312">
        <v>34797802428</v>
      </c>
      <c r="G52" s="286">
        <v>7138513013</v>
      </c>
      <c r="H52" s="286">
        <v>9115167266</v>
      </c>
      <c r="I52" s="205">
        <f>+G52/F52</f>
        <v>0.2051426387562913</v>
      </c>
      <c r="J52" s="205">
        <f t="shared" si="49"/>
        <v>0.26194663541929575</v>
      </c>
      <c r="K52" s="205">
        <f>+(G52/F52)*E52</f>
        <v>1.6411411100503304E-2</v>
      </c>
      <c r="L52" s="205">
        <f t="shared" si="50"/>
        <v>2.095573083354366E-2</v>
      </c>
      <c r="M52" s="286">
        <v>11515173869</v>
      </c>
      <c r="N52" s="611">
        <v>8962015901</v>
      </c>
      <c r="O52" s="611">
        <v>1117484230</v>
      </c>
      <c r="P52" s="611">
        <v>1362281185</v>
      </c>
      <c r="Q52" s="611">
        <v>3556030402</v>
      </c>
      <c r="R52" s="611">
        <f>6289230002-Q52</f>
        <v>2733199600</v>
      </c>
      <c r="S52" s="611">
        <f t="shared" si="0"/>
        <v>17731011318</v>
      </c>
      <c r="T52" s="611">
        <f t="shared" si="51"/>
        <v>29246185187</v>
      </c>
      <c r="U52" s="223">
        <v>1</v>
      </c>
      <c r="V52" s="223">
        <v>1</v>
      </c>
      <c r="W52" s="223">
        <f>+U52*E52</f>
        <v>0.08</v>
      </c>
      <c r="X52" s="223">
        <f t="shared" si="52"/>
        <v>0.08</v>
      </c>
      <c r="Y52" s="223">
        <f>+M52/F52</f>
        <v>0.33091669776636046</v>
      </c>
      <c r="Z52" s="223">
        <f t="shared" si="53"/>
        <v>0.84046069424967773</v>
      </c>
      <c r="AA52" s="223">
        <f>+Y52*E52</f>
        <v>2.6473335821308838E-2</v>
      </c>
      <c r="AB52" s="205">
        <f>+Z52*E52</f>
        <v>6.7236855539974216E-2</v>
      </c>
      <c r="AC52" s="283" t="s">
        <v>1852</v>
      </c>
      <c r="AD52" s="642" t="s">
        <v>1893</v>
      </c>
      <c r="AE52" s="642" t="s">
        <v>2277</v>
      </c>
      <c r="AF52" s="642" t="s">
        <v>2296</v>
      </c>
      <c r="AG52" s="932" t="s">
        <v>2412</v>
      </c>
      <c r="AH52" s="932" t="s">
        <v>2449</v>
      </c>
      <c r="AI52" s="932" t="s">
        <v>2564</v>
      </c>
    </row>
    <row r="53" spans="1:35" ht="67.2" customHeight="1" thickBot="1" x14ac:dyDescent="0.4">
      <c r="A53" s="301"/>
      <c r="B53" s="1242" t="s">
        <v>994</v>
      </c>
      <c r="C53" s="1242" t="s">
        <v>1195</v>
      </c>
      <c r="D53" s="303" t="s">
        <v>683</v>
      </c>
      <c r="E53" s="264">
        <v>0.15</v>
      </c>
      <c r="F53" s="312">
        <v>238874034451</v>
      </c>
      <c r="G53" s="286">
        <v>53552764612</v>
      </c>
      <c r="H53" s="286">
        <v>62463944648</v>
      </c>
      <c r="I53" s="205">
        <f>+G53/F53</f>
        <v>0.22418830382749377</v>
      </c>
      <c r="J53" s="205">
        <f t="shared" si="49"/>
        <v>0.26149323760349169</v>
      </c>
      <c r="K53" s="205">
        <f>+(G53/F53)*E53</f>
        <v>3.3628245574124062E-2</v>
      </c>
      <c r="L53" s="205">
        <f t="shared" si="50"/>
        <v>3.9223985640523755E-2</v>
      </c>
      <c r="M53" s="286">
        <v>56461296000</v>
      </c>
      <c r="N53" s="611">
        <v>15037510000</v>
      </c>
      <c r="O53" s="611">
        <v>14645008000</v>
      </c>
      <c r="P53" s="611">
        <v>12936485000</v>
      </c>
      <c r="Q53" s="611">
        <v>7995157000</v>
      </c>
      <c r="R53" s="611">
        <f>18624405685-Q53</f>
        <v>10629248685</v>
      </c>
      <c r="S53" s="611">
        <f t="shared" si="0"/>
        <v>61243408685</v>
      </c>
      <c r="T53" s="611">
        <f t="shared" si="51"/>
        <v>117704704685</v>
      </c>
      <c r="U53" s="223">
        <v>1</v>
      </c>
      <c r="V53" s="223">
        <f t="shared" si="54"/>
        <v>0.98046015233463035</v>
      </c>
      <c r="W53" s="223">
        <f>+U53*E53</f>
        <v>0.15</v>
      </c>
      <c r="X53" s="223">
        <f t="shared" si="52"/>
        <v>0.14706902285019455</v>
      </c>
      <c r="Y53" s="223">
        <f>+M53/F53</f>
        <v>0.23636430861882501</v>
      </c>
      <c r="Z53" s="223">
        <f t="shared" si="53"/>
        <v>0.49274800819402015</v>
      </c>
      <c r="AA53" s="223">
        <f>+Y53*E53</f>
        <v>3.5454646292823751E-2</v>
      </c>
      <c r="AB53" s="205">
        <f>+Z53*E53</f>
        <v>7.3912201229103025E-2</v>
      </c>
      <c r="AC53" s="283" t="s">
        <v>1852</v>
      </c>
      <c r="AD53" s="642" t="s">
        <v>1893</v>
      </c>
      <c r="AE53" s="642" t="s">
        <v>2277</v>
      </c>
      <c r="AF53" s="642" t="s">
        <v>2296</v>
      </c>
      <c r="AG53" s="932" t="s">
        <v>2412</v>
      </c>
      <c r="AH53" s="932" t="s">
        <v>2449</v>
      </c>
      <c r="AI53" s="932" t="s">
        <v>2564</v>
      </c>
    </row>
    <row r="54" spans="1:35" ht="98.4" customHeight="1" thickBot="1" x14ac:dyDescent="0.4">
      <c r="A54" s="301"/>
      <c r="B54" s="1242" t="s">
        <v>995</v>
      </c>
      <c r="C54" s="1242" t="s">
        <v>1556</v>
      </c>
      <c r="D54" s="303" t="s">
        <v>683</v>
      </c>
      <c r="E54" s="264">
        <v>0.02</v>
      </c>
      <c r="F54" s="262">
        <v>16</v>
      </c>
      <c r="G54" s="286">
        <v>4</v>
      </c>
      <c r="H54" s="286">
        <v>4</v>
      </c>
      <c r="I54" s="205">
        <f>+G54/F54</f>
        <v>0.25</v>
      </c>
      <c r="J54" s="205">
        <f t="shared" si="49"/>
        <v>0.25</v>
      </c>
      <c r="K54" s="205">
        <f>+(G54/F54)*E54</f>
        <v>5.0000000000000001E-3</v>
      </c>
      <c r="L54" s="205">
        <f t="shared" si="50"/>
        <v>5.0000000000000001E-3</v>
      </c>
      <c r="M54" s="286">
        <v>4</v>
      </c>
      <c r="N54" s="611">
        <v>1</v>
      </c>
      <c r="O54" s="611">
        <v>0.5</v>
      </c>
      <c r="P54" s="611">
        <v>2</v>
      </c>
      <c r="Q54" s="611">
        <v>0</v>
      </c>
      <c r="R54" s="611">
        <v>0</v>
      </c>
      <c r="S54" s="286">
        <f t="shared" si="0"/>
        <v>3.5</v>
      </c>
      <c r="T54" s="286">
        <f t="shared" si="51"/>
        <v>7.5</v>
      </c>
      <c r="U54" s="223">
        <f>+(M54/G54)</f>
        <v>1</v>
      </c>
      <c r="V54" s="223">
        <f t="shared" si="54"/>
        <v>0.875</v>
      </c>
      <c r="W54" s="223">
        <f>+U54*E54</f>
        <v>0.02</v>
      </c>
      <c r="X54" s="223">
        <f t="shared" si="52"/>
        <v>1.7500000000000002E-2</v>
      </c>
      <c r="Y54" s="223">
        <f>+M54/F54</f>
        <v>0.25</v>
      </c>
      <c r="Z54" s="223">
        <f t="shared" si="53"/>
        <v>0.46875</v>
      </c>
      <c r="AA54" s="223">
        <f>+Y54*E54</f>
        <v>5.0000000000000001E-3</v>
      </c>
      <c r="AB54" s="205">
        <f>+Z54*E54</f>
        <v>9.3749999999999997E-3</v>
      </c>
      <c r="AC54" s="192"/>
      <c r="AD54" s="192"/>
      <c r="AE54" s="192"/>
      <c r="AF54" s="642" t="s">
        <v>2296</v>
      </c>
      <c r="AG54" s="932" t="s">
        <v>2412</v>
      </c>
      <c r="AH54" s="932" t="s">
        <v>2449</v>
      </c>
      <c r="AI54" s="932" t="s">
        <v>2564</v>
      </c>
    </row>
    <row r="55" spans="1:35" ht="67.2" customHeight="1" thickBot="1" x14ac:dyDescent="0.4">
      <c r="A55" s="301"/>
      <c r="B55" s="1340" t="s">
        <v>1764</v>
      </c>
      <c r="C55" s="1324"/>
      <c r="D55" s="303"/>
      <c r="E55" s="268">
        <v>0.05</v>
      </c>
      <c r="F55" s="252"/>
      <c r="G55" s="192"/>
      <c r="H55" s="286"/>
      <c r="I55" s="198"/>
      <c r="J55" s="198">
        <f>+AVERAGE(J56)</f>
        <v>0.25</v>
      </c>
      <c r="K55" s="198"/>
      <c r="L55" s="198">
        <f>+L56</f>
        <v>0.25</v>
      </c>
      <c r="M55" s="197"/>
      <c r="N55" s="197"/>
      <c r="O55" s="197"/>
      <c r="P55" s="197"/>
      <c r="Q55" s="197"/>
      <c r="R55" s="1218"/>
      <c r="S55" s="199"/>
      <c r="T55" s="197"/>
      <c r="U55" s="221"/>
      <c r="V55" s="221">
        <f>+AVERAGE(V56)</f>
        <v>1</v>
      </c>
      <c r="W55" s="221"/>
      <c r="X55" s="221">
        <f>+(X56)*E55</f>
        <v>0.05</v>
      </c>
      <c r="Y55" s="198"/>
      <c r="Z55" s="198">
        <f>+AVERAGE(Z56)</f>
        <v>1</v>
      </c>
      <c r="AA55" s="198"/>
      <c r="AB55" s="198">
        <f>+(AB56)</f>
        <v>1</v>
      </c>
      <c r="AC55" s="192"/>
      <c r="AD55" s="192"/>
      <c r="AE55" s="192"/>
      <c r="AF55" s="192"/>
      <c r="AG55" s="683"/>
      <c r="AH55" s="192"/>
      <c r="AI55" s="186"/>
    </row>
    <row r="56" spans="1:35" ht="109.8" customHeight="1" thickBot="1" x14ac:dyDescent="0.4">
      <c r="A56" s="301"/>
      <c r="B56" s="1253" t="s">
        <v>996</v>
      </c>
      <c r="C56" s="1253" t="s">
        <v>1196</v>
      </c>
      <c r="D56" s="313" t="s">
        <v>683</v>
      </c>
      <c r="E56" s="274">
        <v>1</v>
      </c>
      <c r="F56" s="262">
        <v>4</v>
      </c>
      <c r="G56" s="199"/>
      <c r="H56" s="199">
        <v>1</v>
      </c>
      <c r="I56" s="205"/>
      <c r="J56" s="205">
        <f t="shared" si="49"/>
        <v>0.25</v>
      </c>
      <c r="K56" s="205"/>
      <c r="L56" s="205">
        <f t="shared" si="50"/>
        <v>0.25</v>
      </c>
      <c r="M56" s="199"/>
      <c r="N56" s="608">
        <v>0.25</v>
      </c>
      <c r="O56" s="608">
        <v>0.25</v>
      </c>
      <c r="P56" s="611">
        <v>0.5</v>
      </c>
      <c r="Q56" s="611">
        <v>0</v>
      </c>
      <c r="R56" s="1220"/>
      <c r="S56" s="199">
        <f t="shared" si="0"/>
        <v>1</v>
      </c>
      <c r="T56" s="199">
        <f t="shared" ref="T56" si="55">+S56+M56</f>
        <v>1</v>
      </c>
      <c r="U56" s="205"/>
      <c r="V56" s="205">
        <f t="shared" si="54"/>
        <v>1</v>
      </c>
      <c r="W56" s="205"/>
      <c r="X56" s="205">
        <f t="shared" si="52"/>
        <v>1</v>
      </c>
      <c r="Y56" s="205"/>
      <c r="Z56" s="223">
        <f>+T56/1</f>
        <v>1</v>
      </c>
      <c r="AA56" s="205"/>
      <c r="AB56" s="205">
        <f>+Z56*E56</f>
        <v>1</v>
      </c>
      <c r="AC56" s="314" t="s">
        <v>1584</v>
      </c>
      <c r="AD56" s="642" t="s">
        <v>1893</v>
      </c>
      <c r="AE56" s="642" t="s">
        <v>2277</v>
      </c>
      <c r="AF56" s="664" t="s">
        <v>2343</v>
      </c>
      <c r="AG56" s="932" t="s">
        <v>2412</v>
      </c>
      <c r="AH56" s="932" t="s">
        <v>2449</v>
      </c>
      <c r="AI56" s="664" t="s">
        <v>2579</v>
      </c>
    </row>
    <row r="57" spans="1:35" ht="67.2" customHeight="1" thickBot="1" x14ac:dyDescent="0.4">
      <c r="A57" s="301"/>
      <c r="B57" s="1336" t="s">
        <v>1827</v>
      </c>
      <c r="C57" s="1324"/>
      <c r="D57" s="303"/>
      <c r="E57" s="270">
        <v>0.1</v>
      </c>
      <c r="F57" s="304">
        <f>E57*W57</f>
        <v>8.6250000000000007E-2</v>
      </c>
      <c r="G57" s="192"/>
      <c r="H57" s="304">
        <f>+E57*X57</f>
        <v>0.1</v>
      </c>
      <c r="I57" s="190">
        <f>+(I58+I61+I66+I68+I74)/5</f>
        <v>0.22780333900383748</v>
      </c>
      <c r="J57" s="190">
        <f>+(J58+J61+J66+J68+J74)/5</f>
        <v>0.28056602016325777</v>
      </c>
      <c r="K57" s="191">
        <f>+(K58+K61+K66+K68+K74)/5</f>
        <v>0.22258316849309651</v>
      </c>
      <c r="L57" s="191">
        <f>+(L58+L61+L66+L68+L74)/5</f>
        <v>0.27229331342063273</v>
      </c>
      <c r="M57" s="192"/>
      <c r="N57" s="192"/>
      <c r="O57" s="192"/>
      <c r="P57" s="192"/>
      <c r="Q57" s="192"/>
      <c r="R57" s="251"/>
      <c r="S57" s="1181"/>
      <c r="T57" s="192"/>
      <c r="U57" s="190">
        <f>+(U58+U61+U66+U68+U74)/5</f>
        <v>0.93333333333333324</v>
      </c>
      <c r="V57" s="190">
        <f>+(V58+V61+V66+V68+V74)/5</f>
        <v>1</v>
      </c>
      <c r="W57" s="191">
        <f>W58+W61+W66+W68+W74</f>
        <v>0.86250000000000004</v>
      </c>
      <c r="X57" s="191">
        <f>X58+X61+X66+X68+X74</f>
        <v>1</v>
      </c>
      <c r="Y57" s="190">
        <f>(Y58+Y61+Y66+Y68+Y74)/5</f>
        <v>0.25439168183196847</v>
      </c>
      <c r="Z57" s="190">
        <f>(Z58+Z61+Z66+Z68+Z74)/5</f>
        <v>0.52344420487663357</v>
      </c>
      <c r="AA57" s="305">
        <f>(AA58+AA61+AA66+AA68+AA74)</f>
        <v>0.28719335759781622</v>
      </c>
      <c r="AB57" s="305">
        <f>(AB58*E58+AB61*E61+AB66*E66+AB68*E68+AB74*E74)</f>
        <v>0.56904333649826588</v>
      </c>
      <c r="AC57" s="192"/>
      <c r="AD57" s="192"/>
      <c r="AE57" s="192"/>
      <c r="AF57" s="192"/>
      <c r="AG57" s="683"/>
      <c r="AH57" s="192"/>
      <c r="AI57" s="186"/>
    </row>
    <row r="58" spans="1:35" ht="67.2" customHeight="1" thickBot="1" x14ac:dyDescent="0.4">
      <c r="A58" s="301"/>
      <c r="B58" s="1340" t="s">
        <v>1765</v>
      </c>
      <c r="C58" s="1324"/>
      <c r="D58" s="303"/>
      <c r="E58" s="268">
        <v>0.2</v>
      </c>
      <c r="F58" s="252"/>
      <c r="G58" s="192"/>
      <c r="H58" s="192"/>
      <c r="I58" s="198">
        <f>+AVERAGE(I59:I60)</f>
        <v>0.24988626023657873</v>
      </c>
      <c r="J58" s="198">
        <f>+AVERAGE(J59:J60)</f>
        <v>0.24988626023657873</v>
      </c>
      <c r="K58" s="198">
        <f>+K59+K60</f>
        <v>0.24981801637852596</v>
      </c>
      <c r="L58" s="198">
        <f>+L59+L60</f>
        <v>0.24981801637852596</v>
      </c>
      <c r="M58" s="197"/>
      <c r="N58" s="197"/>
      <c r="O58" s="197"/>
      <c r="P58" s="197"/>
      <c r="Q58" s="197"/>
      <c r="R58" s="1218"/>
      <c r="S58" s="199"/>
      <c r="T58" s="197"/>
      <c r="U58" s="221">
        <f>+AVERAGE(U59:U60)</f>
        <v>1</v>
      </c>
      <c r="V58" s="221">
        <f>+AVERAGE(V59:V60)</f>
        <v>1</v>
      </c>
      <c r="W58" s="221">
        <f>+(W59+W60)*E58</f>
        <v>0.2</v>
      </c>
      <c r="X58" s="221">
        <f>+(X59+X60)*E58</f>
        <v>0.2</v>
      </c>
      <c r="Y58" s="198">
        <f>+AVERAGE(Y59:Y60)</f>
        <v>0.38341674249317559</v>
      </c>
      <c r="Z58" s="198">
        <f>+AVERAGE(Z59:Z60)</f>
        <v>0.6424021838034577</v>
      </c>
      <c r="AA58" s="198">
        <f>+(AA59+AA60)*E58</f>
        <v>9.2693357597816203E-2</v>
      </c>
      <c r="AB58" s="198">
        <f>+(AB59+AB60)</f>
        <v>0.72784349408553239</v>
      </c>
      <c r="AC58" s="192"/>
      <c r="AD58" s="192"/>
      <c r="AE58" s="192"/>
      <c r="AF58" s="192"/>
      <c r="AG58" s="683"/>
      <c r="AH58" s="192"/>
      <c r="AI58" s="186"/>
    </row>
    <row r="59" spans="1:35" ht="89.4" customHeight="1" thickBot="1" x14ac:dyDescent="0.4">
      <c r="A59" s="301"/>
      <c r="B59" s="1014" t="s">
        <v>997</v>
      </c>
      <c r="C59" s="1014" t="s">
        <v>1197</v>
      </c>
      <c r="D59" s="303" t="s">
        <v>998</v>
      </c>
      <c r="E59" s="264">
        <v>0.8</v>
      </c>
      <c r="F59" s="262">
        <v>2198</v>
      </c>
      <c r="G59" s="199">
        <v>549</v>
      </c>
      <c r="H59" s="199">
        <v>549</v>
      </c>
      <c r="I59" s="205">
        <f>+G59/F59</f>
        <v>0.24977252047315743</v>
      </c>
      <c r="J59" s="205">
        <f t="shared" ref="J59:J76" si="56">+H59/F59</f>
        <v>0.24977252047315743</v>
      </c>
      <c r="K59" s="205">
        <f>+(G59/F59)*E59</f>
        <v>0.19981801637852595</v>
      </c>
      <c r="L59" s="205">
        <f t="shared" ref="L59:L76" si="57">+(H59/F59)*E59</f>
        <v>0.19981801637852595</v>
      </c>
      <c r="M59" s="199">
        <v>1136</v>
      </c>
      <c r="N59" s="608">
        <v>0</v>
      </c>
      <c r="O59" s="608">
        <v>190</v>
      </c>
      <c r="P59" s="608">
        <v>274</v>
      </c>
      <c r="Q59" s="608">
        <v>0</v>
      </c>
      <c r="R59" s="608">
        <v>125</v>
      </c>
      <c r="S59" s="199">
        <f t="shared" si="0"/>
        <v>589</v>
      </c>
      <c r="T59" s="199">
        <f t="shared" ref="T59:T60" si="58">+S59+M59</f>
        <v>1725</v>
      </c>
      <c r="U59" s="223">
        <v>1</v>
      </c>
      <c r="V59" s="223">
        <v>1</v>
      </c>
      <c r="W59" s="223">
        <f>+U59*E59</f>
        <v>0.8</v>
      </c>
      <c r="X59" s="223">
        <f t="shared" ref="X59:X60" si="59">+V59*E59</f>
        <v>0.8</v>
      </c>
      <c r="Y59" s="223">
        <f>+M59/F59</f>
        <v>0.51683348498635118</v>
      </c>
      <c r="Z59" s="223">
        <f>+T59/F59</f>
        <v>0.78480436760691541</v>
      </c>
      <c r="AA59" s="223">
        <f>+Y59*E59</f>
        <v>0.41346678798908099</v>
      </c>
      <c r="AB59" s="223">
        <f>+Z59*E59</f>
        <v>0.62784349408553242</v>
      </c>
      <c r="AC59" s="283" t="s">
        <v>1852</v>
      </c>
      <c r="AD59" s="642" t="s">
        <v>1893</v>
      </c>
      <c r="AE59" s="642" t="s">
        <v>2277</v>
      </c>
      <c r="AF59" s="642" t="s">
        <v>2296</v>
      </c>
      <c r="AG59" s="932" t="s">
        <v>2412</v>
      </c>
      <c r="AH59" s="932" t="s">
        <v>2447</v>
      </c>
      <c r="AI59" s="932" t="s">
        <v>2564</v>
      </c>
    </row>
    <row r="60" spans="1:35" ht="118.95" customHeight="1" thickBot="1" x14ac:dyDescent="0.4">
      <c r="A60" s="301"/>
      <c r="B60" s="1014" t="s">
        <v>999</v>
      </c>
      <c r="C60" s="1014" t="s">
        <v>1198</v>
      </c>
      <c r="D60" s="303" t="s">
        <v>998</v>
      </c>
      <c r="E60" s="264">
        <v>0.2</v>
      </c>
      <c r="F60" s="262">
        <v>4</v>
      </c>
      <c r="G60" s="199">
        <v>1</v>
      </c>
      <c r="H60" s="199">
        <v>1</v>
      </c>
      <c r="I60" s="205">
        <f>+G60/F60</f>
        <v>0.25</v>
      </c>
      <c r="J60" s="205">
        <f t="shared" si="56"/>
        <v>0.25</v>
      </c>
      <c r="K60" s="205">
        <f>+(G60/F60)*E60</f>
        <v>0.05</v>
      </c>
      <c r="L60" s="205">
        <f t="shared" si="57"/>
        <v>0.05</v>
      </c>
      <c r="M60" s="199">
        <v>1</v>
      </c>
      <c r="N60" s="608">
        <v>0.1</v>
      </c>
      <c r="O60" s="608">
        <v>0.05</v>
      </c>
      <c r="P60" s="608">
        <v>0</v>
      </c>
      <c r="Q60" s="608">
        <v>0</v>
      </c>
      <c r="R60" s="608">
        <v>0.85</v>
      </c>
      <c r="S60" s="199">
        <f t="shared" si="0"/>
        <v>1</v>
      </c>
      <c r="T60" s="199">
        <f t="shared" si="58"/>
        <v>2</v>
      </c>
      <c r="U60" s="223">
        <f>+(M60/G60)</f>
        <v>1</v>
      </c>
      <c r="V60" s="223">
        <f t="shared" ref="V60" si="60">+S60/H60</f>
        <v>1</v>
      </c>
      <c r="W60" s="223">
        <f>+U60*E60</f>
        <v>0.2</v>
      </c>
      <c r="X60" s="223">
        <f t="shared" si="59"/>
        <v>0.2</v>
      </c>
      <c r="Y60" s="223">
        <f>+M60/F60</f>
        <v>0.25</v>
      </c>
      <c r="Z60" s="223">
        <f t="shared" ref="Z60" si="61">+T60/F60</f>
        <v>0.5</v>
      </c>
      <c r="AA60" s="223">
        <f>+Y60*E60</f>
        <v>0.05</v>
      </c>
      <c r="AB60" s="223">
        <f>+Z60*E60</f>
        <v>0.1</v>
      </c>
      <c r="AC60" s="283" t="s">
        <v>1852</v>
      </c>
      <c r="AD60" s="642" t="s">
        <v>1893</v>
      </c>
      <c r="AE60" s="642" t="s">
        <v>2277</v>
      </c>
      <c r="AF60" s="642" t="s">
        <v>2296</v>
      </c>
      <c r="AG60" s="932" t="s">
        <v>2412</v>
      </c>
      <c r="AH60" s="932" t="s">
        <v>2447</v>
      </c>
      <c r="AI60" s="932" t="s">
        <v>2564</v>
      </c>
    </row>
    <row r="61" spans="1:35" ht="67.2" customHeight="1" thickBot="1" x14ac:dyDescent="0.4">
      <c r="A61" s="301"/>
      <c r="B61" s="1340" t="s">
        <v>1828</v>
      </c>
      <c r="C61" s="1324"/>
      <c r="D61" s="303"/>
      <c r="E61" s="268">
        <v>0.3</v>
      </c>
      <c r="F61" s="252"/>
      <c r="G61" s="192"/>
      <c r="H61" s="192"/>
      <c r="I61" s="198">
        <f>+AVERAGE(I62:I65)</f>
        <v>0.15</v>
      </c>
      <c r="J61" s="198">
        <f>+AVERAGE(J62:J65)</f>
        <v>0.29062500000000002</v>
      </c>
      <c r="K61" s="198">
        <f>+K62+K63+K64+K65</f>
        <v>0.19624999999999998</v>
      </c>
      <c r="L61" s="198">
        <f>+L62+L63+L64+L65</f>
        <v>0.27124999999999999</v>
      </c>
      <c r="M61" s="197"/>
      <c r="N61" s="197"/>
      <c r="O61" s="197"/>
      <c r="P61" s="197"/>
      <c r="Q61" s="197"/>
      <c r="R61" s="1218"/>
      <c r="S61" s="199"/>
      <c r="T61" s="197"/>
      <c r="U61" s="221">
        <f>+AVERAGE(U62:U65)</f>
        <v>1</v>
      </c>
      <c r="V61" s="221">
        <f>+AVERAGE(V62:V65)</f>
        <v>1</v>
      </c>
      <c r="W61" s="221">
        <f>+(W62+W63+W64+W65)*E61</f>
        <v>0.3</v>
      </c>
      <c r="X61" s="221">
        <f>+(X62+X63+X64+X65)*E61</f>
        <v>0.3</v>
      </c>
      <c r="Y61" s="198">
        <f>+AVERAGE(Y62:Y65)</f>
        <v>0.22187499999999999</v>
      </c>
      <c r="Z61" s="198">
        <f>+AVERAGE(Z62:Z65)</f>
        <v>0.51249999999999996</v>
      </c>
      <c r="AA61" s="198">
        <f>+(AA62+AA63+AA64+AA65)*E61</f>
        <v>0.103875</v>
      </c>
      <c r="AB61" s="198">
        <f>+(AB62+AB63+AB64+AB65)</f>
        <v>0.61749999999999994</v>
      </c>
      <c r="AC61" s="192"/>
      <c r="AD61" s="192"/>
      <c r="AE61" s="192"/>
      <c r="AF61" s="192"/>
      <c r="AG61" s="683"/>
      <c r="AH61" s="192"/>
      <c r="AI61" s="186"/>
    </row>
    <row r="62" spans="1:35" ht="67.2" customHeight="1" thickBot="1" x14ac:dyDescent="0.4">
      <c r="A62" s="301"/>
      <c r="B62" s="1014" t="s">
        <v>1000</v>
      </c>
      <c r="C62" s="1014" t="s">
        <v>1199</v>
      </c>
      <c r="D62" s="303" t="s">
        <v>998</v>
      </c>
      <c r="E62" s="264">
        <v>0.6</v>
      </c>
      <c r="F62" s="262">
        <v>80</v>
      </c>
      <c r="G62" s="199">
        <v>20</v>
      </c>
      <c r="H62" s="199">
        <v>20</v>
      </c>
      <c r="I62" s="205">
        <f>+G62/F62</f>
        <v>0.25</v>
      </c>
      <c r="J62" s="205">
        <f t="shared" si="56"/>
        <v>0.25</v>
      </c>
      <c r="K62" s="205">
        <f>+(G62/F62)*E62</f>
        <v>0.15</v>
      </c>
      <c r="L62" s="205">
        <f t="shared" si="57"/>
        <v>0.15</v>
      </c>
      <c r="M62" s="199">
        <v>39</v>
      </c>
      <c r="N62" s="608">
        <v>1</v>
      </c>
      <c r="O62" s="608">
        <v>6</v>
      </c>
      <c r="P62" s="608">
        <v>8</v>
      </c>
      <c r="Q62" s="608">
        <v>0</v>
      </c>
      <c r="R62" s="608">
        <v>5</v>
      </c>
      <c r="S62" s="199">
        <f t="shared" si="0"/>
        <v>20</v>
      </c>
      <c r="T62" s="199">
        <f t="shared" ref="T62:T65" si="62">+S62+M62</f>
        <v>59</v>
      </c>
      <c r="U62" s="223">
        <v>1</v>
      </c>
      <c r="V62" s="223">
        <f t="shared" ref="V62:V65" si="63">+S62/H62</f>
        <v>1</v>
      </c>
      <c r="W62" s="223">
        <f>+U62*E62</f>
        <v>0.6</v>
      </c>
      <c r="X62" s="223">
        <f t="shared" ref="X62:X76" si="64">+V62*E62</f>
        <v>0.6</v>
      </c>
      <c r="Y62" s="223">
        <f>+M62/F62</f>
        <v>0.48749999999999999</v>
      </c>
      <c r="Z62" s="223">
        <f t="shared" ref="Z62:Z65" si="65">+T62/F62</f>
        <v>0.73750000000000004</v>
      </c>
      <c r="AA62" s="223">
        <f>+Y62*E62</f>
        <v>0.29249999999999998</v>
      </c>
      <c r="AB62" s="223">
        <f>+Z62*E62</f>
        <v>0.4425</v>
      </c>
      <c r="AC62" s="283" t="s">
        <v>1852</v>
      </c>
      <c r="AD62" s="642" t="s">
        <v>1893</v>
      </c>
      <c r="AE62" s="642" t="s">
        <v>2277</v>
      </c>
      <c r="AF62" s="642" t="s">
        <v>2296</v>
      </c>
      <c r="AG62" s="932" t="s">
        <v>2412</v>
      </c>
      <c r="AH62" s="932" t="s">
        <v>2447</v>
      </c>
      <c r="AI62" s="932" t="s">
        <v>2564</v>
      </c>
    </row>
    <row r="63" spans="1:35" ht="67.2" customHeight="1" thickBot="1" x14ac:dyDescent="0.4">
      <c r="A63" s="301"/>
      <c r="B63" s="1014" t="s">
        <v>1001</v>
      </c>
      <c r="C63" s="1014" t="s">
        <v>1200</v>
      </c>
      <c r="D63" s="303" t="s">
        <v>998</v>
      </c>
      <c r="E63" s="264">
        <v>0.15</v>
      </c>
      <c r="F63" s="262">
        <v>20</v>
      </c>
      <c r="G63" s="199">
        <v>2</v>
      </c>
      <c r="H63" s="199">
        <v>6</v>
      </c>
      <c r="I63" s="205">
        <f>+G63/F63</f>
        <v>0.1</v>
      </c>
      <c r="J63" s="205">
        <f t="shared" si="56"/>
        <v>0.3</v>
      </c>
      <c r="K63" s="205">
        <f>+(G63/F63)*E63</f>
        <v>1.4999999999999999E-2</v>
      </c>
      <c r="L63" s="205">
        <f t="shared" si="57"/>
        <v>4.4999999999999998E-2</v>
      </c>
      <c r="M63" s="199">
        <v>3</v>
      </c>
      <c r="N63" s="608">
        <v>0.6</v>
      </c>
      <c r="O63" s="608">
        <v>0.36</v>
      </c>
      <c r="P63" s="608">
        <v>0.04</v>
      </c>
      <c r="Q63" s="608">
        <v>0</v>
      </c>
      <c r="R63" s="608">
        <v>5</v>
      </c>
      <c r="S63" s="199">
        <f>+N63+O63+P63+Q63+R63</f>
        <v>6</v>
      </c>
      <c r="T63" s="199">
        <f t="shared" si="62"/>
        <v>9</v>
      </c>
      <c r="U63" s="223">
        <v>1</v>
      </c>
      <c r="V63" s="223">
        <v>1</v>
      </c>
      <c r="W63" s="223">
        <f>+U63*E63</f>
        <v>0.15</v>
      </c>
      <c r="X63" s="223">
        <f t="shared" si="64"/>
        <v>0.15</v>
      </c>
      <c r="Y63" s="223">
        <f>+M63/F63</f>
        <v>0.15</v>
      </c>
      <c r="Z63" s="223">
        <f t="shared" si="65"/>
        <v>0.45</v>
      </c>
      <c r="AA63" s="223">
        <f>+Y63*E63</f>
        <v>2.2499999999999999E-2</v>
      </c>
      <c r="AB63" s="223">
        <f>+Z63*E63</f>
        <v>6.7500000000000004E-2</v>
      </c>
      <c r="AC63" s="283" t="s">
        <v>1852</v>
      </c>
      <c r="AD63" s="642" t="s">
        <v>1893</v>
      </c>
      <c r="AE63" s="642" t="s">
        <v>2277</v>
      </c>
      <c r="AF63" s="642" t="s">
        <v>2296</v>
      </c>
      <c r="AG63" s="932" t="s">
        <v>2412</v>
      </c>
      <c r="AH63" s="932" t="s">
        <v>2447</v>
      </c>
      <c r="AI63" s="932" t="s">
        <v>2564</v>
      </c>
    </row>
    <row r="64" spans="1:35" ht="125.4" customHeight="1" thickBot="1" x14ac:dyDescent="0.4">
      <c r="A64" s="301"/>
      <c r="B64" s="1014" t="s">
        <v>1002</v>
      </c>
      <c r="C64" s="1014" t="s">
        <v>1201</v>
      </c>
      <c r="D64" s="303" t="s">
        <v>998</v>
      </c>
      <c r="E64" s="264">
        <v>0.1</v>
      </c>
      <c r="F64" s="262">
        <v>16</v>
      </c>
      <c r="G64" s="199">
        <v>2</v>
      </c>
      <c r="H64" s="199">
        <v>5</v>
      </c>
      <c r="I64" s="205">
        <f>+G64/F64</f>
        <v>0.125</v>
      </c>
      <c r="J64" s="205">
        <f t="shared" si="56"/>
        <v>0.3125</v>
      </c>
      <c r="K64" s="205">
        <f>+(G64/F64)*E64</f>
        <v>1.2500000000000001E-2</v>
      </c>
      <c r="L64" s="205">
        <f t="shared" si="57"/>
        <v>3.125E-2</v>
      </c>
      <c r="M64" s="199">
        <v>2</v>
      </c>
      <c r="N64" s="608">
        <v>1</v>
      </c>
      <c r="O64" s="608">
        <v>4</v>
      </c>
      <c r="P64" s="608">
        <v>0</v>
      </c>
      <c r="Q64" s="608">
        <v>0</v>
      </c>
      <c r="R64" s="608">
        <v>0</v>
      </c>
      <c r="S64" s="199">
        <f t="shared" si="0"/>
        <v>5</v>
      </c>
      <c r="T64" s="199">
        <f t="shared" si="62"/>
        <v>7</v>
      </c>
      <c r="U64" s="223">
        <f>+(M64/G64)</f>
        <v>1</v>
      </c>
      <c r="V64" s="223">
        <f t="shared" si="63"/>
        <v>1</v>
      </c>
      <c r="W64" s="223">
        <f>+U64*E64</f>
        <v>0.1</v>
      </c>
      <c r="X64" s="223">
        <f>+V64*E64</f>
        <v>0.1</v>
      </c>
      <c r="Y64" s="223">
        <f>+M64/F64</f>
        <v>0.125</v>
      </c>
      <c r="Z64" s="223">
        <f t="shared" si="65"/>
        <v>0.4375</v>
      </c>
      <c r="AA64" s="223">
        <f>+Y64*E64</f>
        <v>1.2500000000000001E-2</v>
      </c>
      <c r="AB64" s="223">
        <f>+Z64*E64</f>
        <v>4.3750000000000004E-2</v>
      </c>
      <c r="AC64" s="283" t="s">
        <v>1852</v>
      </c>
      <c r="AD64" s="642" t="s">
        <v>1893</v>
      </c>
      <c r="AE64" s="642" t="s">
        <v>2277</v>
      </c>
      <c r="AF64" s="642" t="s">
        <v>2296</v>
      </c>
      <c r="AG64" s="932" t="s">
        <v>2412</v>
      </c>
      <c r="AH64" s="932" t="s">
        <v>2447</v>
      </c>
      <c r="AI64" s="932" t="s">
        <v>2564</v>
      </c>
    </row>
    <row r="65" spans="1:35" ht="67.2" customHeight="1" thickBot="1" x14ac:dyDescent="0.4">
      <c r="A65" s="301"/>
      <c r="B65" s="1014" t="s">
        <v>1003</v>
      </c>
      <c r="C65" s="1014" t="s">
        <v>1202</v>
      </c>
      <c r="D65" s="303" t="s">
        <v>998</v>
      </c>
      <c r="E65" s="264">
        <v>0.15</v>
      </c>
      <c r="F65" s="262">
        <v>40</v>
      </c>
      <c r="G65" s="199">
        <v>5</v>
      </c>
      <c r="H65" s="199">
        <v>12</v>
      </c>
      <c r="I65" s="205">
        <f>+G65/F65</f>
        <v>0.125</v>
      </c>
      <c r="J65" s="205">
        <f t="shared" si="56"/>
        <v>0.3</v>
      </c>
      <c r="K65" s="205">
        <f>+(G65/F65)*E65</f>
        <v>1.8749999999999999E-2</v>
      </c>
      <c r="L65" s="205">
        <f t="shared" si="57"/>
        <v>4.4999999999999998E-2</v>
      </c>
      <c r="M65" s="199">
        <v>5</v>
      </c>
      <c r="N65" s="608">
        <v>1.2</v>
      </c>
      <c r="O65" s="608">
        <v>2.8</v>
      </c>
      <c r="P65" s="608">
        <v>1</v>
      </c>
      <c r="Q65" s="608">
        <v>2</v>
      </c>
      <c r="R65" s="608">
        <v>5</v>
      </c>
      <c r="S65" s="199">
        <f t="shared" si="0"/>
        <v>12</v>
      </c>
      <c r="T65" s="199">
        <f t="shared" si="62"/>
        <v>17</v>
      </c>
      <c r="U65" s="223">
        <f>+(M65/G65)</f>
        <v>1</v>
      </c>
      <c r="V65" s="223">
        <f t="shared" si="63"/>
        <v>1</v>
      </c>
      <c r="W65" s="223">
        <f>+U65*E65</f>
        <v>0.15</v>
      </c>
      <c r="X65" s="223">
        <f t="shared" si="64"/>
        <v>0.15</v>
      </c>
      <c r="Y65" s="223">
        <f>+M65/F65</f>
        <v>0.125</v>
      </c>
      <c r="Z65" s="223">
        <f t="shared" si="65"/>
        <v>0.42499999999999999</v>
      </c>
      <c r="AA65" s="223">
        <f>+Y65*E65</f>
        <v>1.8749999999999999E-2</v>
      </c>
      <c r="AB65" s="223">
        <f>+Z65*E65</f>
        <v>6.3750000000000001E-2</v>
      </c>
      <c r="AC65" s="283" t="s">
        <v>1852</v>
      </c>
      <c r="AD65" s="642" t="s">
        <v>1893</v>
      </c>
      <c r="AE65" s="642" t="s">
        <v>2277</v>
      </c>
      <c r="AF65" s="642" t="s">
        <v>2296</v>
      </c>
      <c r="AG65" s="932" t="s">
        <v>2412</v>
      </c>
      <c r="AH65" s="932" t="s">
        <v>2447</v>
      </c>
      <c r="AI65" s="932" t="s">
        <v>2564</v>
      </c>
    </row>
    <row r="66" spans="1:35" ht="67.2" customHeight="1" thickBot="1" x14ac:dyDescent="0.4">
      <c r="A66" s="301"/>
      <c r="B66" s="1340" t="s">
        <v>1829</v>
      </c>
      <c r="C66" s="1324"/>
      <c r="D66" s="303"/>
      <c r="E66" s="268">
        <v>0.15</v>
      </c>
      <c r="F66" s="252"/>
      <c r="G66" s="192"/>
      <c r="H66" s="192"/>
      <c r="I66" s="198">
        <f>+AVERAGE(I67)</f>
        <v>0.25</v>
      </c>
      <c r="J66" s="198">
        <f>+AVERAGE(J67)</f>
        <v>0.25</v>
      </c>
      <c r="K66" s="198">
        <f>+K67</f>
        <v>0.25</v>
      </c>
      <c r="L66" s="198">
        <f>+L67</f>
        <v>0.25</v>
      </c>
      <c r="M66" s="197"/>
      <c r="N66" s="197"/>
      <c r="O66" s="197"/>
      <c r="P66" s="197"/>
      <c r="Q66" s="197"/>
      <c r="R66" s="1218"/>
      <c r="S66" s="199"/>
      <c r="T66" s="197"/>
      <c r="U66" s="221">
        <f>+AVERAGE(U67)</f>
        <v>1</v>
      </c>
      <c r="V66" s="221">
        <f>+AVERAGE(V67)</f>
        <v>1</v>
      </c>
      <c r="W66" s="221">
        <f>+(W67)*E66</f>
        <v>0.15</v>
      </c>
      <c r="X66" s="221">
        <f>+(X67)*E66</f>
        <v>0.15</v>
      </c>
      <c r="Y66" s="198">
        <f>+AVERAGE(Y67)</f>
        <v>0.25</v>
      </c>
      <c r="Z66" s="198">
        <f>+AVERAGE(Z67)</f>
        <v>0.5</v>
      </c>
      <c r="AA66" s="198">
        <f>+(AA67)*E66</f>
        <v>3.7499999999999999E-2</v>
      </c>
      <c r="AB66" s="198">
        <f>+(AB67)</f>
        <v>0.5</v>
      </c>
      <c r="AC66" s="192"/>
      <c r="AD66" s="192"/>
      <c r="AE66" s="192"/>
      <c r="AF66" s="192"/>
      <c r="AG66" s="683"/>
      <c r="AH66" s="192"/>
      <c r="AI66" s="186"/>
    </row>
    <row r="67" spans="1:35" ht="114.6" customHeight="1" thickBot="1" x14ac:dyDescent="0.4">
      <c r="A67" s="301"/>
      <c r="B67" s="1014" t="s">
        <v>1004</v>
      </c>
      <c r="C67" s="1014" t="s">
        <v>1203</v>
      </c>
      <c r="D67" s="303" t="s">
        <v>998</v>
      </c>
      <c r="E67" s="264">
        <v>1</v>
      </c>
      <c r="F67" s="262">
        <v>4</v>
      </c>
      <c r="G67" s="199">
        <v>1</v>
      </c>
      <c r="H67" s="199">
        <v>1</v>
      </c>
      <c r="I67" s="205">
        <f>+G67/F67</f>
        <v>0.25</v>
      </c>
      <c r="J67" s="205">
        <f t="shared" si="56"/>
        <v>0.25</v>
      </c>
      <c r="K67" s="205">
        <f>+(G67/F67)*E67</f>
        <v>0.25</v>
      </c>
      <c r="L67" s="205">
        <f t="shared" si="57"/>
        <v>0.25</v>
      </c>
      <c r="M67" s="199">
        <v>1</v>
      </c>
      <c r="N67" s="608">
        <v>0.1</v>
      </c>
      <c r="O67" s="608">
        <v>0.25</v>
      </c>
      <c r="P67" s="608">
        <v>0.35</v>
      </c>
      <c r="Q67" s="608">
        <v>0</v>
      </c>
      <c r="R67" s="608">
        <v>0.3</v>
      </c>
      <c r="S67" s="199">
        <f t="shared" si="0"/>
        <v>1</v>
      </c>
      <c r="T67" s="199">
        <f t="shared" ref="T67" si="66">+S67+M67</f>
        <v>2</v>
      </c>
      <c r="U67" s="223">
        <f>+(M67/G67)</f>
        <v>1</v>
      </c>
      <c r="V67" s="223">
        <f t="shared" ref="V67" si="67">+S67/H67</f>
        <v>1</v>
      </c>
      <c r="W67" s="223">
        <f>+U67*E67</f>
        <v>1</v>
      </c>
      <c r="X67" s="223">
        <f t="shared" si="64"/>
        <v>1</v>
      </c>
      <c r="Y67" s="223">
        <f>+M67/F67</f>
        <v>0.25</v>
      </c>
      <c r="Z67" s="223">
        <f t="shared" ref="Z67" si="68">+T67/F67</f>
        <v>0.5</v>
      </c>
      <c r="AA67" s="223">
        <f>+Y67*E67</f>
        <v>0.25</v>
      </c>
      <c r="AB67" s="223">
        <f>+Z67*E67</f>
        <v>0.5</v>
      </c>
      <c r="AC67" s="283" t="s">
        <v>1852</v>
      </c>
      <c r="AD67" s="642" t="s">
        <v>1893</v>
      </c>
      <c r="AE67" s="642" t="s">
        <v>2277</v>
      </c>
      <c r="AF67" s="642" t="s">
        <v>2296</v>
      </c>
      <c r="AG67" s="932" t="s">
        <v>2412</v>
      </c>
      <c r="AH67" s="932" t="s">
        <v>2447</v>
      </c>
      <c r="AI67" s="932" t="s">
        <v>2564</v>
      </c>
    </row>
    <row r="68" spans="1:35" ht="67.2" customHeight="1" thickBot="1" x14ac:dyDescent="0.4">
      <c r="A68" s="301"/>
      <c r="B68" s="1340" t="s">
        <v>1830</v>
      </c>
      <c r="C68" s="1324"/>
      <c r="D68" s="303"/>
      <c r="E68" s="268">
        <v>0.25</v>
      </c>
      <c r="F68" s="252"/>
      <c r="G68" s="192"/>
      <c r="H68" s="192"/>
      <c r="I68" s="198">
        <f>+AVERAGE(I69:I73)</f>
        <v>0.23913043478260868</v>
      </c>
      <c r="J68" s="198">
        <f>+AVERAGE(J69:J73)</f>
        <v>0.36231884057971014</v>
      </c>
      <c r="K68" s="198">
        <f>+K69+K70+K71+K72+K73</f>
        <v>0.16684782608695653</v>
      </c>
      <c r="L68" s="198">
        <f>+L69+L70+L71+L72+L73</f>
        <v>0.34039855072463771</v>
      </c>
      <c r="M68" s="197"/>
      <c r="N68" s="197"/>
      <c r="O68" s="197"/>
      <c r="P68" s="197"/>
      <c r="Q68" s="197"/>
      <c r="R68" s="1218"/>
      <c r="S68" s="199"/>
      <c r="T68" s="197"/>
      <c r="U68" s="221">
        <f>+AVERAGE(U69:U73)</f>
        <v>0.66666666666666663</v>
      </c>
      <c r="V68" s="221">
        <f>+AVERAGE(V69:V73)</f>
        <v>1</v>
      </c>
      <c r="W68" s="221">
        <f>+(W69+W70+W71+W72+W73)*E68</f>
        <v>0.1125</v>
      </c>
      <c r="X68" s="221">
        <f>+(X69+X70+X71+X72+X73)*E68</f>
        <v>0.25</v>
      </c>
      <c r="Y68" s="198">
        <f>+AVERAGE(Y69:Y73)</f>
        <v>0.16666666666666666</v>
      </c>
      <c r="Z68" s="198">
        <f>+AVERAGE(Z69:Z73)</f>
        <v>0.46231884057971018</v>
      </c>
      <c r="AA68" s="315">
        <f>+(AA69+AA70+AA71+AA72+AA73)*E68</f>
        <v>2.8125000000000001E-2</v>
      </c>
      <c r="AB68" s="315">
        <f>+(AB69+AB70+AB71+AB72+AB73)</f>
        <v>0.45289855072463769</v>
      </c>
      <c r="AC68" s="192"/>
      <c r="AD68" s="846" t="s">
        <v>2000</v>
      </c>
      <c r="AE68" s="192"/>
      <c r="AF68" s="192"/>
      <c r="AG68" s="683"/>
      <c r="AH68" s="192"/>
      <c r="AI68" s="186"/>
    </row>
    <row r="69" spans="1:35" ht="67.2" customHeight="1" thickBot="1" x14ac:dyDescent="0.4">
      <c r="A69" s="301"/>
      <c r="B69" s="1014" t="s">
        <v>1005</v>
      </c>
      <c r="C69" s="1014" t="s">
        <v>1204</v>
      </c>
      <c r="D69" s="303" t="s">
        <v>998</v>
      </c>
      <c r="E69" s="264">
        <v>0.25</v>
      </c>
      <c r="F69" s="262">
        <v>138</v>
      </c>
      <c r="G69" s="199">
        <v>30</v>
      </c>
      <c r="H69" s="199">
        <v>43</v>
      </c>
      <c r="I69" s="205">
        <f>+G69/F69</f>
        <v>0.21739130434782608</v>
      </c>
      <c r="J69" s="205">
        <f t="shared" si="56"/>
        <v>0.31159420289855072</v>
      </c>
      <c r="K69" s="205">
        <f>+(G69/F69)*E69</f>
        <v>5.434782608695652E-2</v>
      </c>
      <c r="L69" s="205">
        <f t="shared" si="57"/>
        <v>7.789855072463768E-2</v>
      </c>
      <c r="M69" s="199">
        <v>0</v>
      </c>
      <c r="N69" s="608">
        <v>0</v>
      </c>
      <c r="O69" s="608">
        <v>0</v>
      </c>
      <c r="P69" s="608">
        <v>0</v>
      </c>
      <c r="Q69" s="608">
        <v>0</v>
      </c>
      <c r="R69" s="608">
        <v>43</v>
      </c>
      <c r="S69" s="199">
        <f t="shared" si="0"/>
        <v>43</v>
      </c>
      <c r="T69" s="199">
        <f t="shared" ref="T69:T73" si="69">+S69+M69</f>
        <v>43</v>
      </c>
      <c r="U69" s="223">
        <f>+(M69/G69)</f>
        <v>0</v>
      </c>
      <c r="V69" s="223">
        <f t="shared" ref="V69:V73" si="70">+S69/H69</f>
        <v>1</v>
      </c>
      <c r="W69" s="223">
        <f>+U69*E69</f>
        <v>0</v>
      </c>
      <c r="X69" s="223">
        <f t="shared" si="64"/>
        <v>0.25</v>
      </c>
      <c r="Y69" s="223">
        <f>+M69/F69</f>
        <v>0</v>
      </c>
      <c r="Z69" s="223">
        <f t="shared" ref="Z69:Z73" si="71">+T69/F69</f>
        <v>0.31159420289855072</v>
      </c>
      <c r="AA69" s="223">
        <f>+Y69*E69</f>
        <v>0</v>
      </c>
      <c r="AB69" s="223">
        <f>+Z69*E69</f>
        <v>7.789855072463768E-2</v>
      </c>
      <c r="AC69" s="283" t="s">
        <v>1852</v>
      </c>
      <c r="AD69" s="642" t="s">
        <v>1893</v>
      </c>
      <c r="AE69" s="642" t="s">
        <v>2277</v>
      </c>
      <c r="AF69" s="642" t="s">
        <v>2296</v>
      </c>
      <c r="AG69" s="932" t="s">
        <v>2412</v>
      </c>
      <c r="AH69" s="932" t="s">
        <v>2447</v>
      </c>
      <c r="AI69" s="932" t="s">
        <v>2564</v>
      </c>
    </row>
    <row r="70" spans="1:35" ht="95.4" customHeight="1" thickBot="1" x14ac:dyDescent="0.4">
      <c r="A70" s="301"/>
      <c r="B70" s="1014" t="s">
        <v>1006</v>
      </c>
      <c r="C70" s="1014" t="s">
        <v>1205</v>
      </c>
      <c r="D70" s="303" t="s">
        <v>998</v>
      </c>
      <c r="E70" s="264">
        <v>0.25</v>
      </c>
      <c r="F70" s="262">
        <v>8</v>
      </c>
      <c r="G70" s="199">
        <v>2</v>
      </c>
      <c r="H70" s="199">
        <v>2</v>
      </c>
      <c r="I70" s="205">
        <f>+G70/F70</f>
        <v>0.25</v>
      </c>
      <c r="J70" s="205">
        <f t="shared" si="56"/>
        <v>0.25</v>
      </c>
      <c r="K70" s="205">
        <f>+(G70/F70)*E70</f>
        <v>6.25E-2</v>
      </c>
      <c r="L70" s="205">
        <f t="shared" si="57"/>
        <v>6.25E-2</v>
      </c>
      <c r="M70" s="199">
        <v>2</v>
      </c>
      <c r="N70" s="608">
        <v>0.2</v>
      </c>
      <c r="O70" s="608">
        <v>0.7</v>
      </c>
      <c r="P70" s="608">
        <v>0.4</v>
      </c>
      <c r="Q70" s="608">
        <v>0.2</v>
      </c>
      <c r="R70" s="608">
        <v>0.5</v>
      </c>
      <c r="S70" s="199">
        <f t="shared" si="0"/>
        <v>1.9999999999999998</v>
      </c>
      <c r="T70" s="199">
        <f t="shared" si="69"/>
        <v>4</v>
      </c>
      <c r="U70" s="223">
        <f>+(M70/G70)</f>
        <v>1</v>
      </c>
      <c r="V70" s="223">
        <f>+S70/H70</f>
        <v>0.99999999999999989</v>
      </c>
      <c r="W70" s="223">
        <f>+U70*E70</f>
        <v>0.25</v>
      </c>
      <c r="X70" s="223">
        <f t="shared" si="64"/>
        <v>0.24999999999999997</v>
      </c>
      <c r="Y70" s="223">
        <f>+M70/F70</f>
        <v>0.25</v>
      </c>
      <c r="Z70" s="223">
        <f t="shared" si="71"/>
        <v>0.5</v>
      </c>
      <c r="AA70" s="223">
        <f>+Y70*E70</f>
        <v>6.25E-2</v>
      </c>
      <c r="AB70" s="223">
        <f>+Z70*E70</f>
        <v>0.125</v>
      </c>
      <c r="AC70" s="283" t="s">
        <v>1852</v>
      </c>
      <c r="AD70" s="642" t="s">
        <v>1893</v>
      </c>
      <c r="AE70" s="642" t="s">
        <v>2277</v>
      </c>
      <c r="AF70" s="642" t="s">
        <v>2296</v>
      </c>
      <c r="AG70" s="932" t="s">
        <v>2412</v>
      </c>
      <c r="AH70" s="932" t="s">
        <v>2447</v>
      </c>
      <c r="AI70" s="932" t="s">
        <v>2564</v>
      </c>
    </row>
    <row r="71" spans="1:35" ht="93" customHeight="1" thickBot="1" x14ac:dyDescent="0.4">
      <c r="A71" s="301"/>
      <c r="B71" s="1014" t="s">
        <v>1007</v>
      </c>
      <c r="C71" s="1014" t="s">
        <v>1206</v>
      </c>
      <c r="D71" s="303" t="s">
        <v>998</v>
      </c>
      <c r="E71" s="264">
        <v>0.15</v>
      </c>
      <c r="F71" s="262">
        <v>4</v>
      </c>
      <c r="G71" s="199">
        <v>0</v>
      </c>
      <c r="H71" s="199">
        <v>2</v>
      </c>
      <c r="I71" s="205"/>
      <c r="J71" s="205">
        <f t="shared" si="56"/>
        <v>0.5</v>
      </c>
      <c r="K71" s="205"/>
      <c r="L71" s="205">
        <f t="shared" si="57"/>
        <v>7.4999999999999997E-2</v>
      </c>
      <c r="M71" s="199"/>
      <c r="N71" s="608">
        <v>0.2</v>
      </c>
      <c r="O71" s="608">
        <v>0.5</v>
      </c>
      <c r="P71" s="608">
        <v>7.0000000000000007E-2</v>
      </c>
      <c r="Q71" s="608">
        <v>0</v>
      </c>
      <c r="R71" s="608">
        <v>1.23</v>
      </c>
      <c r="S71" s="199">
        <f t="shared" ref="S71:S82" si="72">+N71+O71+P71+Q71+R71</f>
        <v>2</v>
      </c>
      <c r="T71" s="199">
        <f t="shared" si="69"/>
        <v>2</v>
      </c>
      <c r="U71" s="223"/>
      <c r="V71" s="223">
        <f t="shared" si="70"/>
        <v>1</v>
      </c>
      <c r="W71" s="223"/>
      <c r="X71" s="223">
        <f t="shared" si="64"/>
        <v>0.15</v>
      </c>
      <c r="Y71" s="223"/>
      <c r="Z71" s="223">
        <f t="shared" si="71"/>
        <v>0.5</v>
      </c>
      <c r="AA71" s="223"/>
      <c r="AB71" s="223">
        <f t="shared" ref="AB71:AB72" si="73">+Z71*E71</f>
        <v>7.4999999999999997E-2</v>
      </c>
      <c r="AC71" s="192"/>
      <c r="AD71" s="642" t="s">
        <v>1893</v>
      </c>
      <c r="AE71" s="642" t="s">
        <v>2277</v>
      </c>
      <c r="AF71" s="642" t="s">
        <v>2296</v>
      </c>
      <c r="AG71" s="932" t="s">
        <v>2412</v>
      </c>
      <c r="AH71" s="932" t="s">
        <v>2447</v>
      </c>
      <c r="AI71" s="932" t="s">
        <v>2564</v>
      </c>
    </row>
    <row r="72" spans="1:35" ht="85.2" customHeight="1" thickBot="1" x14ac:dyDescent="0.4">
      <c r="A72" s="301"/>
      <c r="B72" s="1014" t="s">
        <v>1008</v>
      </c>
      <c r="C72" s="1014" t="s">
        <v>1207</v>
      </c>
      <c r="D72" s="303" t="s">
        <v>998</v>
      </c>
      <c r="E72" s="264">
        <v>0.15</v>
      </c>
      <c r="F72" s="262">
        <v>4</v>
      </c>
      <c r="G72" s="199">
        <v>0</v>
      </c>
      <c r="H72" s="199">
        <v>2</v>
      </c>
      <c r="I72" s="205"/>
      <c r="J72" s="205">
        <f t="shared" si="56"/>
        <v>0.5</v>
      </c>
      <c r="K72" s="205"/>
      <c r="L72" s="205">
        <f t="shared" si="57"/>
        <v>7.4999999999999997E-2</v>
      </c>
      <c r="M72" s="199"/>
      <c r="N72" s="608">
        <v>0.2</v>
      </c>
      <c r="O72" s="608">
        <v>0.15</v>
      </c>
      <c r="P72" s="608">
        <v>0.09</v>
      </c>
      <c r="Q72" s="608">
        <v>0</v>
      </c>
      <c r="R72" s="608">
        <v>1.56</v>
      </c>
      <c r="S72" s="199">
        <f t="shared" si="72"/>
        <v>2</v>
      </c>
      <c r="T72" s="199">
        <f t="shared" si="69"/>
        <v>2</v>
      </c>
      <c r="U72" s="223"/>
      <c r="V72" s="223">
        <f t="shared" si="70"/>
        <v>1</v>
      </c>
      <c r="W72" s="223"/>
      <c r="X72" s="223">
        <f t="shared" si="64"/>
        <v>0.15</v>
      </c>
      <c r="Y72" s="223"/>
      <c r="Z72" s="223">
        <f t="shared" si="71"/>
        <v>0.5</v>
      </c>
      <c r="AA72" s="223"/>
      <c r="AB72" s="223">
        <f t="shared" si="73"/>
        <v>7.4999999999999997E-2</v>
      </c>
      <c r="AC72" s="192"/>
      <c r="AD72" s="642" t="s">
        <v>1893</v>
      </c>
      <c r="AE72" s="642" t="s">
        <v>2277</v>
      </c>
      <c r="AF72" s="642" t="s">
        <v>2296</v>
      </c>
      <c r="AG72" s="932" t="s">
        <v>2412</v>
      </c>
      <c r="AH72" s="932" t="s">
        <v>2447</v>
      </c>
      <c r="AI72" s="932" t="s">
        <v>2564</v>
      </c>
    </row>
    <row r="73" spans="1:35" ht="67.2" customHeight="1" thickBot="1" x14ac:dyDescent="0.4">
      <c r="A73" s="301"/>
      <c r="B73" s="1014" t="s">
        <v>1545</v>
      </c>
      <c r="C73" s="1014" t="s">
        <v>1544</v>
      </c>
      <c r="D73" s="303" t="s">
        <v>998</v>
      </c>
      <c r="E73" s="264">
        <v>0.2</v>
      </c>
      <c r="F73" s="262">
        <v>4</v>
      </c>
      <c r="G73" s="199">
        <v>1</v>
      </c>
      <c r="H73" s="199">
        <v>1</v>
      </c>
      <c r="I73" s="205">
        <f>+G73/F73</f>
        <v>0.25</v>
      </c>
      <c r="J73" s="205">
        <f t="shared" si="56"/>
        <v>0.25</v>
      </c>
      <c r="K73" s="205">
        <f>+(G73/F73)*E73</f>
        <v>0.05</v>
      </c>
      <c r="L73" s="205">
        <f t="shared" si="57"/>
        <v>0.05</v>
      </c>
      <c r="M73" s="199">
        <v>1</v>
      </c>
      <c r="N73" s="608">
        <v>0.05</v>
      </c>
      <c r="O73" s="608">
        <f>0.13-N73</f>
        <v>0.08</v>
      </c>
      <c r="P73" s="608">
        <v>0.3</v>
      </c>
      <c r="Q73" s="608">
        <v>0</v>
      </c>
      <c r="R73" s="608">
        <v>0.57000000000000006</v>
      </c>
      <c r="S73" s="199">
        <f t="shared" si="72"/>
        <v>1</v>
      </c>
      <c r="T73" s="199">
        <f t="shared" si="69"/>
        <v>2</v>
      </c>
      <c r="U73" s="223">
        <f>+(M73/G73)</f>
        <v>1</v>
      </c>
      <c r="V73" s="223">
        <f t="shared" si="70"/>
        <v>1</v>
      </c>
      <c r="W73" s="223">
        <f>+U73*E73</f>
        <v>0.2</v>
      </c>
      <c r="X73" s="223">
        <f t="shared" si="64"/>
        <v>0.2</v>
      </c>
      <c r="Y73" s="223">
        <f>+M73/F73</f>
        <v>0.25</v>
      </c>
      <c r="Z73" s="223">
        <f t="shared" si="71"/>
        <v>0.5</v>
      </c>
      <c r="AA73" s="223">
        <f>+Y73*E73</f>
        <v>0.05</v>
      </c>
      <c r="AB73" s="223">
        <f>+Z73*E73</f>
        <v>0.1</v>
      </c>
      <c r="AC73" s="283" t="s">
        <v>1852</v>
      </c>
      <c r="AD73" s="642" t="s">
        <v>1893</v>
      </c>
      <c r="AE73" s="642" t="s">
        <v>2277</v>
      </c>
      <c r="AF73" s="642" t="s">
        <v>2296</v>
      </c>
      <c r="AG73" s="932" t="s">
        <v>2412</v>
      </c>
      <c r="AH73" s="932" t="s">
        <v>2447</v>
      </c>
      <c r="AI73" s="932" t="s">
        <v>2564</v>
      </c>
    </row>
    <row r="74" spans="1:35" ht="67.2" customHeight="1" thickBot="1" x14ac:dyDescent="0.4">
      <c r="A74" s="301"/>
      <c r="B74" s="1340" t="s">
        <v>1831</v>
      </c>
      <c r="C74" s="1324"/>
      <c r="D74" s="303"/>
      <c r="E74" s="268">
        <v>0.1</v>
      </c>
      <c r="F74" s="252"/>
      <c r="G74" s="192"/>
      <c r="H74" s="192"/>
      <c r="I74" s="198">
        <f>+AVERAGE(I75:I76)</f>
        <v>0.25</v>
      </c>
      <c r="J74" s="198">
        <f>+AVERAGE(J75:J76)</f>
        <v>0.25</v>
      </c>
      <c r="K74" s="198">
        <f>+K75+K76</f>
        <v>0.25</v>
      </c>
      <c r="L74" s="198">
        <f>+L75+L76</f>
        <v>0.25</v>
      </c>
      <c r="M74" s="197"/>
      <c r="N74" s="197"/>
      <c r="O74" s="197"/>
      <c r="P74" s="197"/>
      <c r="Q74" s="197"/>
      <c r="R74" s="1218"/>
      <c r="S74" s="199"/>
      <c r="T74" s="197"/>
      <c r="U74" s="221">
        <f>+AVERAGE(U75:U76)</f>
        <v>1</v>
      </c>
      <c r="V74" s="221">
        <f>+AVERAGE(V75:V76)</f>
        <v>1</v>
      </c>
      <c r="W74" s="221">
        <f>+(W75+W76)*E74</f>
        <v>0.1</v>
      </c>
      <c r="X74" s="221">
        <f>+(X75+X76)*E74</f>
        <v>0.1</v>
      </c>
      <c r="Y74" s="198">
        <f>+AVERAGE(Y75:Y76)</f>
        <v>0.25</v>
      </c>
      <c r="Z74" s="198">
        <f>+AVERAGE(Z75:Z76)</f>
        <v>0.5</v>
      </c>
      <c r="AA74" s="198">
        <f>+(AA75+AA76)*E74</f>
        <v>2.5000000000000001E-2</v>
      </c>
      <c r="AB74" s="198">
        <f>+(AB75+AB76)</f>
        <v>0.5</v>
      </c>
      <c r="AC74" s="192"/>
      <c r="AD74" s="192"/>
      <c r="AE74" s="192"/>
      <c r="AF74" s="192"/>
      <c r="AG74" s="683"/>
      <c r="AH74" s="192"/>
      <c r="AI74" s="186"/>
    </row>
    <row r="75" spans="1:35" ht="67.2" customHeight="1" thickBot="1" x14ac:dyDescent="0.4">
      <c r="A75" s="301"/>
      <c r="B75" s="1014" t="s">
        <v>1009</v>
      </c>
      <c r="C75" s="1014" t="s">
        <v>1208</v>
      </c>
      <c r="D75" s="303" t="s">
        <v>998</v>
      </c>
      <c r="E75" s="264">
        <v>0.5</v>
      </c>
      <c r="F75" s="262">
        <v>12</v>
      </c>
      <c r="G75" s="199">
        <v>3</v>
      </c>
      <c r="H75" s="199">
        <v>3</v>
      </c>
      <c r="I75" s="205">
        <f>+G75/F75</f>
        <v>0.25</v>
      </c>
      <c r="J75" s="205">
        <f t="shared" si="56"/>
        <v>0.25</v>
      </c>
      <c r="K75" s="205">
        <f>+(G75/F75)*E75</f>
        <v>0.125</v>
      </c>
      <c r="L75" s="205">
        <f t="shared" si="57"/>
        <v>0.125</v>
      </c>
      <c r="M75" s="199">
        <v>3</v>
      </c>
      <c r="N75" s="608">
        <v>0.15</v>
      </c>
      <c r="O75" s="608">
        <v>0.45</v>
      </c>
      <c r="P75" s="608">
        <v>0.06</v>
      </c>
      <c r="Q75" s="608">
        <v>0.34</v>
      </c>
      <c r="R75" s="272">
        <v>2</v>
      </c>
      <c r="S75" s="199">
        <f t="shared" si="72"/>
        <v>3</v>
      </c>
      <c r="T75" s="199">
        <f t="shared" ref="T75:T76" si="74">+S75+M75</f>
        <v>6</v>
      </c>
      <c r="U75" s="223">
        <f>+(M75/G75)</f>
        <v>1</v>
      </c>
      <c r="V75" s="223">
        <f t="shared" ref="V75:V76" si="75">+S75/H75</f>
        <v>1</v>
      </c>
      <c r="W75" s="223">
        <f>+U75*E75</f>
        <v>0.5</v>
      </c>
      <c r="X75" s="223">
        <f t="shared" si="64"/>
        <v>0.5</v>
      </c>
      <c r="Y75" s="223">
        <f>+M75/F75</f>
        <v>0.25</v>
      </c>
      <c r="Z75" s="223">
        <f t="shared" ref="Z75:Z76" si="76">+T75/F75</f>
        <v>0.5</v>
      </c>
      <c r="AA75" s="223">
        <f>+Y75*E75</f>
        <v>0.125</v>
      </c>
      <c r="AB75" s="223">
        <f>+Z75*E75</f>
        <v>0.25</v>
      </c>
      <c r="AC75" s="283" t="s">
        <v>1852</v>
      </c>
      <c r="AD75" s="642" t="s">
        <v>1893</v>
      </c>
      <c r="AE75" s="642" t="s">
        <v>2277</v>
      </c>
      <c r="AF75" s="642" t="s">
        <v>2296</v>
      </c>
      <c r="AG75" s="932" t="s">
        <v>2412</v>
      </c>
      <c r="AH75" s="932" t="s">
        <v>2447</v>
      </c>
      <c r="AI75" s="932" t="s">
        <v>2564</v>
      </c>
    </row>
    <row r="76" spans="1:35" ht="67.2" customHeight="1" thickBot="1" x14ac:dyDescent="0.4">
      <c r="A76" s="301"/>
      <c r="B76" s="1014" t="s">
        <v>1010</v>
      </c>
      <c r="C76" s="1014" t="s">
        <v>1209</v>
      </c>
      <c r="D76" s="303" t="s">
        <v>998</v>
      </c>
      <c r="E76" s="264">
        <v>0.5</v>
      </c>
      <c r="F76" s="262">
        <v>4</v>
      </c>
      <c r="G76" s="199">
        <v>1</v>
      </c>
      <c r="H76" s="199">
        <v>1</v>
      </c>
      <c r="I76" s="205">
        <f>+G76/F76</f>
        <v>0.25</v>
      </c>
      <c r="J76" s="205">
        <f t="shared" si="56"/>
        <v>0.25</v>
      </c>
      <c r="K76" s="205">
        <f>+(G76/F76)*E76</f>
        <v>0.125</v>
      </c>
      <c r="L76" s="205">
        <f t="shared" si="57"/>
        <v>0.125</v>
      </c>
      <c r="M76" s="199">
        <v>1</v>
      </c>
      <c r="N76" s="608">
        <v>0.1</v>
      </c>
      <c r="O76" s="608">
        <v>0.15</v>
      </c>
      <c r="P76" s="608">
        <v>0.02</v>
      </c>
      <c r="Q76" s="608">
        <v>0</v>
      </c>
      <c r="R76" s="272">
        <v>0.73</v>
      </c>
      <c r="S76" s="199">
        <f t="shared" si="72"/>
        <v>1</v>
      </c>
      <c r="T76" s="199">
        <f t="shared" si="74"/>
        <v>2</v>
      </c>
      <c r="U76" s="223">
        <f>+(M76/G76)</f>
        <v>1</v>
      </c>
      <c r="V76" s="223">
        <f t="shared" si="75"/>
        <v>1</v>
      </c>
      <c r="W76" s="223">
        <f>+U76*E76</f>
        <v>0.5</v>
      </c>
      <c r="X76" s="223">
        <f t="shared" si="64"/>
        <v>0.5</v>
      </c>
      <c r="Y76" s="223">
        <f>+M76/F76</f>
        <v>0.25</v>
      </c>
      <c r="Z76" s="223">
        <f t="shared" si="76"/>
        <v>0.5</v>
      </c>
      <c r="AA76" s="223">
        <f>+Y76*E76</f>
        <v>0.125</v>
      </c>
      <c r="AB76" s="223">
        <f>+Z76*E76</f>
        <v>0.25</v>
      </c>
      <c r="AC76" s="283" t="s">
        <v>1852</v>
      </c>
      <c r="AD76" s="642" t="s">
        <v>1893</v>
      </c>
      <c r="AE76" s="642" t="s">
        <v>2277</v>
      </c>
      <c r="AF76" s="642" t="s">
        <v>2296</v>
      </c>
      <c r="AG76" s="932" t="s">
        <v>2412</v>
      </c>
      <c r="AH76" s="932" t="s">
        <v>2447</v>
      </c>
      <c r="AI76" s="932" t="s">
        <v>2564</v>
      </c>
    </row>
    <row r="77" spans="1:35" ht="67.2" customHeight="1" thickBot="1" x14ac:dyDescent="0.4">
      <c r="A77" s="301"/>
      <c r="B77" s="1336" t="s">
        <v>1832</v>
      </c>
      <c r="C77" s="1324"/>
      <c r="D77" s="303"/>
      <c r="E77" s="270">
        <v>0.15</v>
      </c>
      <c r="F77" s="304">
        <f>E77*W77</f>
        <v>8.2600999999999994E-2</v>
      </c>
      <c r="G77" s="192"/>
      <c r="H77" s="304">
        <f>+E77*X77</f>
        <v>0.11696746363636362</v>
      </c>
      <c r="I77" s="190">
        <f>+(I78+I85+I92+I94+I99+I105)/5</f>
        <v>0.25436567555113532</v>
      </c>
      <c r="J77" s="190">
        <f>+(J78+J85+J92+J94+J99+J105)/6</f>
        <v>0.31832393913396156</v>
      </c>
      <c r="K77" s="191">
        <f>+(K78+K85+K92+K94+K99+K105)/5</f>
        <v>0.23789244132935511</v>
      </c>
      <c r="L77" s="191">
        <f>+(L78+L85+L92+L94+L99+L105)/6</f>
        <v>0.30079710077612098</v>
      </c>
      <c r="M77" s="192"/>
      <c r="N77" s="192"/>
      <c r="O77" s="192"/>
      <c r="P77" s="192"/>
      <c r="Q77" s="192"/>
      <c r="R77" s="251"/>
      <c r="S77" s="1181"/>
      <c r="T77" s="192"/>
      <c r="U77" s="190">
        <f>+(U78+U85+U92+U94+U99+U105)/5</f>
        <v>0.85431111111111113</v>
      </c>
      <c r="V77" s="190">
        <f>+(V78+V85+V92+V94+V99+V105)/6</f>
        <v>0.75171893939393941</v>
      </c>
      <c r="W77" s="191">
        <f>+W78+W85+W92+W94+W99+W105</f>
        <v>0.55067333333333335</v>
      </c>
      <c r="X77" s="191">
        <f>+X78+X85+X92+X94+X99+X105</f>
        <v>0.77978309090909081</v>
      </c>
      <c r="Y77" s="190">
        <f>+(Y78+Y85+Y92+Y94+Y99+Y105)/6</f>
        <v>0.17211584073705719</v>
      </c>
      <c r="Z77" s="190">
        <f>+(Z78+Z85+Z92+Z94+Z99+Z105)/6</f>
        <v>0.4683245805089773</v>
      </c>
      <c r="AA77" s="305">
        <f>+(AA78+AA85+AA92+AA94+AA99+AA105)</f>
        <v>0.15231066433034965</v>
      </c>
      <c r="AB77" s="305">
        <f>+(AB78*E78+AB85*E85+AB92*E92+AB94*E94+AB99*E99+AB105*E105)</f>
        <v>0.49669634354560488</v>
      </c>
      <c r="AC77" s="192"/>
      <c r="AD77" s="618" t="s">
        <v>1889</v>
      </c>
      <c r="AE77" s="192"/>
      <c r="AF77" s="192"/>
      <c r="AG77" s="683"/>
      <c r="AH77" s="192"/>
      <c r="AI77" s="186"/>
    </row>
    <row r="78" spans="1:35" ht="67.2" customHeight="1" thickBot="1" x14ac:dyDescent="0.4">
      <c r="A78" s="301"/>
      <c r="B78" s="1340" t="s">
        <v>1770</v>
      </c>
      <c r="C78" s="1324"/>
      <c r="D78" s="303"/>
      <c r="E78" s="268">
        <v>0.15</v>
      </c>
      <c r="F78" s="252"/>
      <c r="G78" s="192"/>
      <c r="H78" s="192"/>
      <c r="I78" s="198">
        <f>+AVERAGE(I79:I84)</f>
        <v>0.35243948886678761</v>
      </c>
      <c r="J78" s="198">
        <f>+AVERAGE(J79:J84)</f>
        <v>0.4932769681371027</v>
      </c>
      <c r="K78" s="198">
        <f>+K79+K80+K81+K82+K83+K84</f>
        <v>0.34219553998010876</v>
      </c>
      <c r="L78" s="198">
        <f>+L79+L80+L81+L82+L83+L84</f>
        <v>0.53394927132339243</v>
      </c>
      <c r="M78" s="197"/>
      <c r="N78" s="197"/>
      <c r="O78" s="197"/>
      <c r="P78" s="197"/>
      <c r="Q78" s="197"/>
      <c r="R78" s="1218"/>
      <c r="S78" s="199"/>
      <c r="T78" s="197"/>
      <c r="U78" s="221">
        <f>+AVERAGE(U79:U84)</f>
        <v>0.9</v>
      </c>
      <c r="V78" s="221">
        <f>+AVERAGE(V79:V84)</f>
        <v>0.96969696969696972</v>
      </c>
      <c r="W78" s="221">
        <f>+(W79+W80+W81+W82+W83+W84)*E78</f>
        <v>0.1275</v>
      </c>
      <c r="X78" s="221">
        <f>+(X79+X80+X81+X82+X83+X84)*E78</f>
        <v>0.1459090909090909</v>
      </c>
      <c r="Y78" s="198">
        <f>+AVERAGE(Y79:Y84)</f>
        <v>0.32743948886678759</v>
      </c>
      <c r="Z78" s="198">
        <f>+AVERAGE(Z79:Z84)</f>
        <v>0.77629859416497471</v>
      </c>
      <c r="AA78" s="198">
        <f>+(AA79+AA80+AA81+AA82+AA83+AA84)*E78</f>
        <v>4.5704330997016318E-2</v>
      </c>
      <c r="AB78" s="198">
        <f>+(AB79+AB80+AB81+AB82+AB83+AB84)</f>
        <v>0.78866873474847721</v>
      </c>
      <c r="AC78" s="192"/>
      <c r="AD78" s="192"/>
      <c r="AE78" s="192"/>
      <c r="AF78" s="192"/>
      <c r="AG78" s="683"/>
      <c r="AH78" s="192"/>
      <c r="AI78" s="186"/>
    </row>
    <row r="79" spans="1:35" ht="107.4" customHeight="1" thickBot="1" x14ac:dyDescent="0.4">
      <c r="A79" s="301"/>
      <c r="B79" s="1014" t="s">
        <v>1011</v>
      </c>
      <c r="C79" s="1014" t="s">
        <v>1210</v>
      </c>
      <c r="D79" s="303" t="s">
        <v>1012</v>
      </c>
      <c r="E79" s="264">
        <v>0.15</v>
      </c>
      <c r="F79" s="262">
        <v>209</v>
      </c>
      <c r="G79" s="199">
        <v>53</v>
      </c>
      <c r="H79" s="199">
        <v>53</v>
      </c>
      <c r="I79" s="205">
        <f t="shared" ref="I79:I84" si="77">+G79/F79</f>
        <v>0.25358851674641147</v>
      </c>
      <c r="J79" s="205">
        <f t="shared" ref="J79:J84" si="78">+H79/F79</f>
        <v>0.25358851674641147</v>
      </c>
      <c r="K79" s="205">
        <f t="shared" ref="K79:K84" si="79">+(G79/F79)*E79</f>
        <v>3.8038277511961718E-2</v>
      </c>
      <c r="L79" s="205">
        <f t="shared" ref="L79:L84" si="80">+(H79/F79)*E79</f>
        <v>3.8038277511961718E-2</v>
      </c>
      <c r="M79" s="316">
        <v>53</v>
      </c>
      <c r="N79" s="628">
        <v>0</v>
      </c>
      <c r="O79" s="628">
        <v>48</v>
      </c>
      <c r="P79" s="628">
        <v>12</v>
      </c>
      <c r="Q79" s="628">
        <v>0</v>
      </c>
      <c r="R79" s="628">
        <v>0</v>
      </c>
      <c r="S79" s="316">
        <f t="shared" si="72"/>
        <v>60</v>
      </c>
      <c r="T79" s="316">
        <f t="shared" ref="T79:T84" si="81">+S79+M79</f>
        <v>113</v>
      </c>
      <c r="U79" s="223">
        <f>+(M79/G79)</f>
        <v>1</v>
      </c>
      <c r="V79" s="223">
        <v>1</v>
      </c>
      <c r="W79" s="223">
        <f t="shared" ref="W79:W84" si="82">+U79*E79</f>
        <v>0.15</v>
      </c>
      <c r="X79" s="223">
        <f t="shared" ref="X79:X84" si="83">+V79*E79</f>
        <v>0.15</v>
      </c>
      <c r="Y79" s="223">
        <f t="shared" ref="Y79:Y84" si="84">+M79/F79</f>
        <v>0.25358851674641147</v>
      </c>
      <c r="Z79" s="223">
        <f t="shared" ref="Z79:Z84" si="85">+T79/F79</f>
        <v>0.54066985645933019</v>
      </c>
      <c r="AA79" s="207">
        <f t="shared" ref="AA79:AA84" si="86">+Y79*E79</f>
        <v>3.8038277511961718E-2</v>
      </c>
      <c r="AB79" s="207">
        <f t="shared" ref="AB79:AB84" si="87">+Z79*E79</f>
        <v>8.110047846889952E-2</v>
      </c>
      <c r="AC79" s="283" t="s">
        <v>1852</v>
      </c>
      <c r="AD79" s="642" t="s">
        <v>1892</v>
      </c>
      <c r="AE79" s="642" t="s">
        <v>2277</v>
      </c>
      <c r="AF79" s="642" t="s">
        <v>2296</v>
      </c>
      <c r="AG79" s="932" t="s">
        <v>2412</v>
      </c>
      <c r="AH79" s="932" t="s">
        <v>2449</v>
      </c>
      <c r="AI79" s="932" t="s">
        <v>2564</v>
      </c>
    </row>
    <row r="80" spans="1:35" ht="117" customHeight="1" thickBot="1" x14ac:dyDescent="0.4">
      <c r="A80" s="301"/>
      <c r="B80" s="1014" t="s">
        <v>1013</v>
      </c>
      <c r="C80" s="1014" t="s">
        <v>1211</v>
      </c>
      <c r="D80" s="303" t="s">
        <v>1012</v>
      </c>
      <c r="E80" s="264">
        <v>0.15</v>
      </c>
      <c r="F80" s="262">
        <v>328</v>
      </c>
      <c r="G80" s="199">
        <v>150</v>
      </c>
      <c r="H80" s="199">
        <v>150</v>
      </c>
      <c r="I80" s="205">
        <f t="shared" si="77"/>
        <v>0.45731707317073172</v>
      </c>
      <c r="J80" s="205">
        <f t="shared" si="78"/>
        <v>0.45731707317073172</v>
      </c>
      <c r="K80" s="205">
        <f t="shared" si="79"/>
        <v>6.8597560975609762E-2</v>
      </c>
      <c r="L80" s="205">
        <f t="shared" si="80"/>
        <v>6.8597560975609762E-2</v>
      </c>
      <c r="M80" s="316">
        <v>150</v>
      </c>
      <c r="N80" s="628">
        <v>150</v>
      </c>
      <c r="O80" s="628">
        <v>0</v>
      </c>
      <c r="P80" s="628">
        <v>0</v>
      </c>
      <c r="Q80" s="628">
        <v>0</v>
      </c>
      <c r="R80" s="628">
        <v>0</v>
      </c>
      <c r="S80" s="316">
        <f t="shared" si="72"/>
        <v>150</v>
      </c>
      <c r="T80" s="316">
        <f t="shared" si="81"/>
        <v>300</v>
      </c>
      <c r="U80" s="223">
        <v>1</v>
      </c>
      <c r="V80" s="223">
        <f t="shared" ref="V80:V81" si="88">+S80/H80</f>
        <v>1</v>
      </c>
      <c r="W80" s="223">
        <f t="shared" si="82"/>
        <v>0.15</v>
      </c>
      <c r="X80" s="223">
        <f t="shared" si="83"/>
        <v>0.15</v>
      </c>
      <c r="Y80" s="223">
        <f t="shared" si="84"/>
        <v>0.45731707317073172</v>
      </c>
      <c r="Z80" s="223">
        <f t="shared" si="85"/>
        <v>0.91463414634146345</v>
      </c>
      <c r="AA80" s="207">
        <f t="shared" si="86"/>
        <v>6.8597560975609762E-2</v>
      </c>
      <c r="AB80" s="207">
        <f t="shared" si="87"/>
        <v>0.13719512195121952</v>
      </c>
      <c r="AC80" s="283" t="s">
        <v>1852</v>
      </c>
      <c r="AD80" s="642" t="s">
        <v>1892</v>
      </c>
      <c r="AE80" s="642" t="s">
        <v>2277</v>
      </c>
      <c r="AF80" s="642" t="s">
        <v>2296</v>
      </c>
      <c r="AG80" s="932" t="s">
        <v>2412</v>
      </c>
      <c r="AH80" s="932" t="s">
        <v>2449</v>
      </c>
      <c r="AI80" s="932" t="s">
        <v>2564</v>
      </c>
    </row>
    <row r="81" spans="1:35" ht="93.6" customHeight="1" thickBot="1" x14ac:dyDescent="0.4">
      <c r="A81" s="301"/>
      <c r="B81" s="1014" t="s">
        <v>1014</v>
      </c>
      <c r="C81" s="1014" t="s">
        <v>1212</v>
      </c>
      <c r="D81" s="303" t="s">
        <v>1012</v>
      </c>
      <c r="E81" s="264">
        <v>0.15</v>
      </c>
      <c r="F81" s="262">
        <v>402</v>
      </c>
      <c r="G81" s="199">
        <v>102</v>
      </c>
      <c r="H81" s="199">
        <v>100</v>
      </c>
      <c r="I81" s="205">
        <f t="shared" si="77"/>
        <v>0.2537313432835821</v>
      </c>
      <c r="J81" s="205">
        <f t="shared" si="78"/>
        <v>0.24875621890547264</v>
      </c>
      <c r="K81" s="205">
        <f t="shared" si="79"/>
        <v>3.8059701492537311E-2</v>
      </c>
      <c r="L81" s="205">
        <f t="shared" si="80"/>
        <v>3.7313432835820892E-2</v>
      </c>
      <c r="M81" s="316">
        <v>102</v>
      </c>
      <c r="N81" s="628">
        <v>26</v>
      </c>
      <c r="O81" s="628">
        <v>21</v>
      </c>
      <c r="P81" s="628">
        <v>24</v>
      </c>
      <c r="Q81" s="628">
        <v>29</v>
      </c>
      <c r="R81" s="628">
        <v>0</v>
      </c>
      <c r="S81" s="316">
        <f t="shared" si="72"/>
        <v>100</v>
      </c>
      <c r="T81" s="316">
        <f t="shared" si="81"/>
        <v>202</v>
      </c>
      <c r="U81" s="223">
        <f>+(M81/G81)</f>
        <v>1</v>
      </c>
      <c r="V81" s="223">
        <f t="shared" si="88"/>
        <v>1</v>
      </c>
      <c r="W81" s="223">
        <f t="shared" si="82"/>
        <v>0.15</v>
      </c>
      <c r="X81" s="223">
        <f t="shared" si="83"/>
        <v>0.15</v>
      </c>
      <c r="Y81" s="223">
        <f t="shared" si="84"/>
        <v>0.2537313432835821</v>
      </c>
      <c r="Z81" s="223">
        <f t="shared" si="85"/>
        <v>0.50248756218905477</v>
      </c>
      <c r="AA81" s="207">
        <f t="shared" si="86"/>
        <v>3.8059701492537311E-2</v>
      </c>
      <c r="AB81" s="207">
        <f t="shared" si="87"/>
        <v>7.537313432835821E-2</v>
      </c>
      <c r="AC81" s="283" t="s">
        <v>1852</v>
      </c>
      <c r="AD81" s="642" t="s">
        <v>1892</v>
      </c>
      <c r="AE81" s="642" t="s">
        <v>2277</v>
      </c>
      <c r="AF81" s="642" t="s">
        <v>2296</v>
      </c>
      <c r="AG81" s="932" t="s">
        <v>2412</v>
      </c>
      <c r="AH81" s="932" t="s">
        <v>2449</v>
      </c>
      <c r="AI81" s="932" t="s">
        <v>2564</v>
      </c>
    </row>
    <row r="82" spans="1:35" ht="97.2" customHeight="1" thickBot="1" x14ac:dyDescent="0.4">
      <c r="A82" s="301"/>
      <c r="B82" s="1014" t="s">
        <v>1015</v>
      </c>
      <c r="C82" s="1014" t="s">
        <v>1213</v>
      </c>
      <c r="D82" s="303" t="s">
        <v>1012</v>
      </c>
      <c r="E82" s="264">
        <v>0.15</v>
      </c>
      <c r="F82" s="262">
        <v>1</v>
      </c>
      <c r="G82" s="272">
        <v>0.45</v>
      </c>
      <c r="H82" s="272">
        <v>0.55000000000000004</v>
      </c>
      <c r="I82" s="205">
        <f t="shared" si="77"/>
        <v>0.45</v>
      </c>
      <c r="J82" s="205">
        <f t="shared" si="78"/>
        <v>0.55000000000000004</v>
      </c>
      <c r="K82" s="205">
        <f t="shared" si="79"/>
        <v>6.7500000000000004E-2</v>
      </c>
      <c r="L82" s="205">
        <f t="shared" si="80"/>
        <v>8.2500000000000004E-2</v>
      </c>
      <c r="M82" s="317">
        <v>0.45</v>
      </c>
      <c r="N82" s="629">
        <v>0</v>
      </c>
      <c r="O82" s="629">
        <v>0.05</v>
      </c>
      <c r="P82" s="629">
        <v>0</v>
      </c>
      <c r="Q82" s="629">
        <v>0.27</v>
      </c>
      <c r="R82" s="629">
        <v>0.13</v>
      </c>
      <c r="S82" s="317">
        <f t="shared" si="72"/>
        <v>0.45</v>
      </c>
      <c r="T82" s="317">
        <f t="shared" si="81"/>
        <v>0.9</v>
      </c>
      <c r="U82" s="223">
        <v>1</v>
      </c>
      <c r="V82" s="223">
        <f>+S82/0.45</f>
        <v>1</v>
      </c>
      <c r="W82" s="223">
        <f t="shared" si="82"/>
        <v>0.15</v>
      </c>
      <c r="X82" s="223">
        <f t="shared" si="83"/>
        <v>0.15</v>
      </c>
      <c r="Y82" s="223">
        <f t="shared" si="84"/>
        <v>0.45</v>
      </c>
      <c r="Z82" s="223">
        <f t="shared" si="85"/>
        <v>0.9</v>
      </c>
      <c r="AA82" s="207">
        <f t="shared" si="86"/>
        <v>6.7500000000000004E-2</v>
      </c>
      <c r="AB82" s="207">
        <f t="shared" si="87"/>
        <v>0.13500000000000001</v>
      </c>
      <c r="AC82" s="283" t="s">
        <v>1860</v>
      </c>
      <c r="AD82" s="642" t="s">
        <v>1892</v>
      </c>
      <c r="AE82" s="642" t="s">
        <v>2277</v>
      </c>
      <c r="AF82" s="642" t="s">
        <v>2296</v>
      </c>
      <c r="AG82" s="932" t="s">
        <v>2412</v>
      </c>
      <c r="AH82" s="932" t="s">
        <v>2449</v>
      </c>
      <c r="AI82" s="932" t="s">
        <v>2564</v>
      </c>
    </row>
    <row r="83" spans="1:35" ht="137.4" customHeight="1" thickBot="1" x14ac:dyDescent="0.4">
      <c r="A83" s="301"/>
      <c r="B83" s="1014" t="s">
        <v>1016</v>
      </c>
      <c r="C83" s="1014" t="s">
        <v>1214</v>
      </c>
      <c r="D83" s="303" t="s">
        <v>1012</v>
      </c>
      <c r="E83" s="264">
        <v>0.15</v>
      </c>
      <c r="F83" s="262">
        <v>1</v>
      </c>
      <c r="G83" s="199">
        <v>0.45</v>
      </c>
      <c r="H83" s="199">
        <v>0.55000000000000004</v>
      </c>
      <c r="I83" s="205">
        <f t="shared" si="77"/>
        <v>0.45</v>
      </c>
      <c r="J83" s="205">
        <f t="shared" si="78"/>
        <v>0.55000000000000004</v>
      </c>
      <c r="K83" s="205">
        <f t="shared" si="79"/>
        <v>6.7500000000000004E-2</v>
      </c>
      <c r="L83" s="205">
        <f t="shared" si="80"/>
        <v>8.2500000000000004E-2</v>
      </c>
      <c r="M83" s="317">
        <v>0.45</v>
      </c>
      <c r="N83" s="629">
        <v>0</v>
      </c>
      <c r="O83" s="629">
        <v>0.25</v>
      </c>
      <c r="P83" s="629">
        <v>0</v>
      </c>
      <c r="Q83" s="629">
        <v>0.06</v>
      </c>
      <c r="R83" s="629">
        <v>0.14000000000000001</v>
      </c>
      <c r="S83" s="317">
        <f>+N83+O83+P83+Q83+R83</f>
        <v>0.45</v>
      </c>
      <c r="T83" s="317">
        <f t="shared" si="81"/>
        <v>0.9</v>
      </c>
      <c r="U83" s="223">
        <f>+(M83/G83)</f>
        <v>1</v>
      </c>
      <c r="V83" s="223">
        <f>+S83/H83</f>
        <v>0.81818181818181812</v>
      </c>
      <c r="W83" s="223">
        <f t="shared" si="82"/>
        <v>0.15</v>
      </c>
      <c r="X83" s="223">
        <f t="shared" si="83"/>
        <v>0.12272727272727271</v>
      </c>
      <c r="Y83" s="223">
        <f t="shared" si="84"/>
        <v>0.45</v>
      </c>
      <c r="Z83" s="223">
        <f t="shared" si="85"/>
        <v>0.9</v>
      </c>
      <c r="AA83" s="207">
        <f t="shared" si="86"/>
        <v>6.7500000000000004E-2</v>
      </c>
      <c r="AB83" s="207">
        <f t="shared" si="87"/>
        <v>0.13500000000000001</v>
      </c>
      <c r="AC83" s="283" t="s">
        <v>1861</v>
      </c>
      <c r="AD83" s="642" t="s">
        <v>1892</v>
      </c>
      <c r="AE83" s="642" t="s">
        <v>2277</v>
      </c>
      <c r="AF83" s="642" t="s">
        <v>2296</v>
      </c>
      <c r="AG83" s="932" t="s">
        <v>2412</v>
      </c>
      <c r="AH83" s="932" t="s">
        <v>2449</v>
      </c>
      <c r="AI83" s="932" t="s">
        <v>2564</v>
      </c>
    </row>
    <row r="84" spans="1:35" ht="133.19999999999999" customHeight="1" thickBot="1" x14ac:dyDescent="0.4">
      <c r="A84" s="301"/>
      <c r="B84" s="1014" t="s">
        <v>1017</v>
      </c>
      <c r="C84" s="1014" t="s">
        <v>1215</v>
      </c>
      <c r="D84" s="303" t="s">
        <v>1012</v>
      </c>
      <c r="E84" s="264">
        <v>0.25</v>
      </c>
      <c r="F84" s="262">
        <v>1</v>
      </c>
      <c r="G84" s="199">
        <v>0.25</v>
      </c>
      <c r="H84" s="199">
        <v>0.9</v>
      </c>
      <c r="I84" s="205">
        <f t="shared" si="77"/>
        <v>0.25</v>
      </c>
      <c r="J84" s="205">
        <f t="shared" si="78"/>
        <v>0.9</v>
      </c>
      <c r="K84" s="205">
        <f t="shared" si="79"/>
        <v>6.25E-2</v>
      </c>
      <c r="L84" s="205">
        <f t="shared" si="80"/>
        <v>0.22500000000000001</v>
      </c>
      <c r="M84" s="317">
        <v>0.1</v>
      </c>
      <c r="N84" s="629">
        <v>0</v>
      </c>
      <c r="O84" s="629">
        <v>0.5</v>
      </c>
      <c r="P84" s="629">
        <v>0</v>
      </c>
      <c r="Q84" s="629">
        <v>0.22</v>
      </c>
      <c r="R84" s="629">
        <v>0.08</v>
      </c>
      <c r="S84" s="317">
        <f>+N84+O84+P84+Q84+R84</f>
        <v>0.79999999999999993</v>
      </c>
      <c r="T84" s="317">
        <f t="shared" si="81"/>
        <v>0.89999999999999991</v>
      </c>
      <c r="U84" s="223">
        <f>+(M84/G84)</f>
        <v>0.4</v>
      </c>
      <c r="V84" s="223">
        <f>+S84/0.8</f>
        <v>0.99999999999999989</v>
      </c>
      <c r="W84" s="223">
        <f t="shared" si="82"/>
        <v>0.1</v>
      </c>
      <c r="X84" s="223">
        <f t="shared" si="83"/>
        <v>0.24999999999999997</v>
      </c>
      <c r="Y84" s="223">
        <f t="shared" si="84"/>
        <v>0.1</v>
      </c>
      <c r="Z84" s="223">
        <f t="shared" si="85"/>
        <v>0.89999999999999991</v>
      </c>
      <c r="AA84" s="207">
        <f t="shared" si="86"/>
        <v>2.5000000000000001E-2</v>
      </c>
      <c r="AB84" s="207">
        <f t="shared" si="87"/>
        <v>0.22499999999999998</v>
      </c>
      <c r="AC84" s="283" t="s">
        <v>1852</v>
      </c>
      <c r="AD84" s="642" t="s">
        <v>1892</v>
      </c>
      <c r="AE84" s="642" t="s">
        <v>2277</v>
      </c>
      <c r="AF84" s="642" t="s">
        <v>2296</v>
      </c>
      <c r="AG84" s="932" t="s">
        <v>2412</v>
      </c>
      <c r="AH84" s="932" t="s">
        <v>2449</v>
      </c>
      <c r="AI84" s="932" t="s">
        <v>2564</v>
      </c>
    </row>
    <row r="85" spans="1:35" ht="67.2" customHeight="1" thickBot="1" x14ac:dyDescent="0.4">
      <c r="A85" s="301"/>
      <c r="B85" s="1340" t="s">
        <v>1771</v>
      </c>
      <c r="C85" s="1324"/>
      <c r="D85" s="303"/>
      <c r="E85" s="268">
        <v>0.3</v>
      </c>
      <c r="F85" s="252"/>
      <c r="G85" s="192"/>
      <c r="H85" s="192"/>
      <c r="I85" s="198">
        <f>+AVERAGE(I86:I91)*((1/6)*2)</f>
        <v>0.17916666666666664</v>
      </c>
      <c r="J85" s="198">
        <f>+AVERAGE(J86:J91)</f>
        <v>0.23749999999999999</v>
      </c>
      <c r="K85" s="198">
        <f>+K86+K87+K88+K89+K90+K91</f>
        <v>0.14250000000000002</v>
      </c>
      <c r="L85" s="198">
        <f>+L86+L87+L88+L89+L90+L91</f>
        <v>0.16</v>
      </c>
      <c r="M85" s="197"/>
      <c r="N85" s="197"/>
      <c r="O85" s="197"/>
      <c r="P85" s="197"/>
      <c r="Q85" s="197"/>
      <c r="R85" s="1218"/>
      <c r="S85" s="197"/>
      <c r="T85" s="197"/>
      <c r="U85" s="221">
        <f>+AVERAGE(U86:U91)</f>
        <v>0.88888888888888884</v>
      </c>
      <c r="V85" s="221">
        <f>+AVERAGE(V86:V91)</f>
        <v>0.55000000000000004</v>
      </c>
      <c r="W85" s="221">
        <f>+(W86+W87+W88+W89+W90+W91)*E85</f>
        <v>0.11333333333333333</v>
      </c>
      <c r="X85" s="221">
        <f>+(X86+X87+X88+X89+X90+X91)*E85</f>
        <v>0.13500000000000001</v>
      </c>
      <c r="Y85" s="198">
        <f>+AVERAGE(Y86:Y91)*((1/6)*2)</f>
        <v>0.14999999999999997</v>
      </c>
      <c r="Z85" s="198">
        <f>+Y85+((Z87-Y87)/6)+((Z90-Y90)/6)+(Z86/6)+(Z88/6)+(Z89/6)+(Z91/6)</f>
        <v>0.2558333333333333</v>
      </c>
      <c r="AA85" s="198">
        <f>+(AA86+AA87+AA88+AA89+AA90+AA91)*E85</f>
        <v>3.9E-2</v>
      </c>
      <c r="AB85" s="198">
        <f>+(AB86+AB87+AB88+AB89+AB90+AB91)</f>
        <v>0.254</v>
      </c>
      <c r="AC85" s="283" t="s">
        <v>1862</v>
      </c>
      <c r="AD85" s="192"/>
      <c r="AE85" s="192"/>
      <c r="AF85" s="192"/>
      <c r="AG85" s="683"/>
      <c r="AH85" s="192"/>
      <c r="AI85" s="186"/>
    </row>
    <row r="86" spans="1:35" ht="83.4" customHeight="1" thickBot="1" x14ac:dyDescent="0.4">
      <c r="A86" s="301"/>
      <c r="B86" s="1014" t="s">
        <v>1018</v>
      </c>
      <c r="C86" s="1014" t="s">
        <v>1216</v>
      </c>
      <c r="D86" s="303" t="s">
        <v>1012</v>
      </c>
      <c r="E86" s="264">
        <v>0.4</v>
      </c>
      <c r="F86" s="262">
        <v>300</v>
      </c>
      <c r="G86" s="199">
        <v>0</v>
      </c>
      <c r="H86" s="199">
        <v>5</v>
      </c>
      <c r="I86" s="205"/>
      <c r="J86" s="205">
        <f t="shared" ref="J86:J90" si="89">+H86/F86</f>
        <v>1.6666666666666666E-2</v>
      </c>
      <c r="K86" s="205"/>
      <c r="L86" s="205">
        <f t="shared" ref="L86:L90" si="90">+(H86/F86)*E86</f>
        <v>6.6666666666666671E-3</v>
      </c>
      <c r="M86" s="199"/>
      <c r="N86" s="608">
        <v>0</v>
      </c>
      <c r="O86" s="608">
        <v>0</v>
      </c>
      <c r="P86" s="608">
        <v>0</v>
      </c>
      <c r="Q86" s="608">
        <v>0</v>
      </c>
      <c r="R86" s="608">
        <v>0.5</v>
      </c>
      <c r="S86" s="199">
        <f>+N86+O86+P86+Q86+R86</f>
        <v>0.5</v>
      </c>
      <c r="T86" s="199">
        <f t="shared" ref="T86:T91" si="91">+S86+M86</f>
        <v>0.5</v>
      </c>
      <c r="U86" s="223"/>
      <c r="V86" s="223">
        <f t="shared" ref="V86:V90" si="92">+S86/H86</f>
        <v>0.1</v>
      </c>
      <c r="W86" s="223"/>
      <c r="X86" s="223">
        <f>+V86*E86</f>
        <v>4.0000000000000008E-2</v>
      </c>
      <c r="Y86" s="223"/>
      <c r="Z86" s="223">
        <f>+T86/F86</f>
        <v>1.6666666666666668E-3</v>
      </c>
      <c r="AA86" s="205"/>
      <c r="AB86" s="205">
        <f t="shared" ref="AB86:AB91" si="93">+Z86*E86</f>
        <v>6.6666666666666675E-4</v>
      </c>
      <c r="AC86" s="283" t="s">
        <v>1852</v>
      </c>
      <c r="AD86" s="719" t="s">
        <v>1939</v>
      </c>
      <c r="AE86" s="642" t="s">
        <v>2277</v>
      </c>
      <c r="AF86" s="642" t="s">
        <v>2296</v>
      </c>
      <c r="AG86" s="932" t="s">
        <v>2412</v>
      </c>
      <c r="AH86" s="932" t="s">
        <v>2449</v>
      </c>
      <c r="AI86" s="932" t="s">
        <v>2564</v>
      </c>
    </row>
    <row r="87" spans="1:35" ht="67.2" customHeight="1" thickBot="1" x14ac:dyDescent="0.4">
      <c r="A87" s="301"/>
      <c r="B87" s="1014" t="s">
        <v>1019</v>
      </c>
      <c r="C87" s="1014" t="s">
        <v>1217</v>
      </c>
      <c r="D87" s="303" t="s">
        <v>1012</v>
      </c>
      <c r="E87" s="264">
        <v>0.1</v>
      </c>
      <c r="F87" s="262">
        <v>100</v>
      </c>
      <c r="G87" s="199">
        <v>90</v>
      </c>
      <c r="H87" s="199">
        <v>30</v>
      </c>
      <c r="I87" s="205">
        <f t="shared" ref="I87" si="94">+G87/F87</f>
        <v>0.9</v>
      </c>
      <c r="J87" s="205">
        <f t="shared" si="89"/>
        <v>0.3</v>
      </c>
      <c r="K87" s="205">
        <f t="shared" ref="K87" si="95">+(G87/F87)*E87</f>
        <v>9.0000000000000011E-2</v>
      </c>
      <c r="L87" s="205">
        <f t="shared" si="90"/>
        <v>0.03</v>
      </c>
      <c r="M87" s="199">
        <v>70</v>
      </c>
      <c r="N87" s="608">
        <v>0</v>
      </c>
      <c r="O87" s="608">
        <v>0</v>
      </c>
      <c r="P87" s="608">
        <v>0</v>
      </c>
      <c r="Q87" s="608">
        <v>30</v>
      </c>
      <c r="R87" s="608">
        <v>0</v>
      </c>
      <c r="S87" s="199">
        <f t="shared" ref="S87:S141" si="96">+N87+O87+P87+Q87+R87</f>
        <v>30</v>
      </c>
      <c r="T87" s="199">
        <f t="shared" si="91"/>
        <v>100</v>
      </c>
      <c r="U87" s="223">
        <f>+(M87/G87)</f>
        <v>0.77777777777777779</v>
      </c>
      <c r="V87" s="223">
        <f t="shared" si="92"/>
        <v>1</v>
      </c>
      <c r="W87" s="223">
        <f>+U87*E87</f>
        <v>7.7777777777777779E-2</v>
      </c>
      <c r="X87" s="223">
        <f t="shared" ref="X87:X90" si="97">+V87*E87</f>
        <v>0.1</v>
      </c>
      <c r="Y87" s="223">
        <f>+M87/F87</f>
        <v>0.7</v>
      </c>
      <c r="Z87" s="223">
        <f t="shared" ref="Z87:Z91" si="98">+T87/F87</f>
        <v>1</v>
      </c>
      <c r="AA87" s="205">
        <f>+Y87*E87</f>
        <v>6.9999999999999993E-2</v>
      </c>
      <c r="AB87" s="205">
        <f t="shared" si="93"/>
        <v>0.1</v>
      </c>
      <c r="AC87" s="283" t="s">
        <v>1852</v>
      </c>
      <c r="AD87" s="642" t="s">
        <v>1892</v>
      </c>
      <c r="AE87" s="642" t="s">
        <v>2277</v>
      </c>
      <c r="AF87" s="642" t="s">
        <v>2296</v>
      </c>
      <c r="AG87" s="932" t="s">
        <v>2412</v>
      </c>
      <c r="AH87" s="932" t="s">
        <v>2466</v>
      </c>
      <c r="AI87" s="932" t="s">
        <v>2564</v>
      </c>
    </row>
    <row r="88" spans="1:35" ht="91.2" customHeight="1" thickBot="1" x14ac:dyDescent="0.4">
      <c r="A88" s="301"/>
      <c r="B88" s="1014" t="s">
        <v>1020</v>
      </c>
      <c r="C88" s="1014" t="s">
        <v>1218</v>
      </c>
      <c r="D88" s="303" t="s">
        <v>1012</v>
      </c>
      <c r="E88" s="264">
        <v>0.1</v>
      </c>
      <c r="F88" s="262">
        <v>3</v>
      </c>
      <c r="G88" s="199">
        <v>0</v>
      </c>
      <c r="H88" s="199">
        <v>1</v>
      </c>
      <c r="I88" s="205"/>
      <c r="J88" s="205">
        <f t="shared" si="89"/>
        <v>0.33333333333333331</v>
      </c>
      <c r="K88" s="205"/>
      <c r="L88" s="205">
        <f t="shared" si="90"/>
        <v>3.3333333333333333E-2</v>
      </c>
      <c r="M88" s="199"/>
      <c r="N88" s="608">
        <v>0</v>
      </c>
      <c r="O88" s="608">
        <v>0</v>
      </c>
      <c r="P88" s="608">
        <v>0</v>
      </c>
      <c r="Q88" s="608">
        <v>0</v>
      </c>
      <c r="R88" s="608">
        <v>0.1</v>
      </c>
      <c r="S88" s="199">
        <f t="shared" si="96"/>
        <v>0.1</v>
      </c>
      <c r="T88" s="199">
        <f t="shared" si="91"/>
        <v>0.1</v>
      </c>
      <c r="U88" s="223"/>
      <c r="V88" s="223">
        <f t="shared" si="92"/>
        <v>0.1</v>
      </c>
      <c r="W88" s="223"/>
      <c r="X88" s="223">
        <f t="shared" si="97"/>
        <v>1.0000000000000002E-2</v>
      </c>
      <c r="Y88" s="223"/>
      <c r="Z88" s="223">
        <f t="shared" si="98"/>
        <v>3.3333333333333333E-2</v>
      </c>
      <c r="AA88" s="205"/>
      <c r="AB88" s="205">
        <f t="shared" si="93"/>
        <v>3.3333333333333335E-3</v>
      </c>
      <c r="AC88" s="192" t="s">
        <v>1567</v>
      </c>
      <c r="AD88" s="719" t="s">
        <v>1939</v>
      </c>
      <c r="AE88" s="642" t="s">
        <v>2277</v>
      </c>
      <c r="AF88" s="642" t="s">
        <v>2296</v>
      </c>
      <c r="AG88" s="932" t="s">
        <v>2412</v>
      </c>
      <c r="AH88" s="932" t="s">
        <v>2449</v>
      </c>
      <c r="AI88" s="932" t="s">
        <v>2564</v>
      </c>
    </row>
    <row r="89" spans="1:35" ht="67.2" customHeight="1" thickBot="1" x14ac:dyDescent="0.4">
      <c r="A89" s="301"/>
      <c r="B89" s="1014" t="s">
        <v>1021</v>
      </c>
      <c r="C89" s="1014" t="s">
        <v>1219</v>
      </c>
      <c r="D89" s="303" t="s">
        <v>1012</v>
      </c>
      <c r="E89" s="264">
        <v>0.05</v>
      </c>
      <c r="F89" s="262">
        <v>1</v>
      </c>
      <c r="G89" s="199">
        <v>0</v>
      </c>
      <c r="H89" s="199">
        <v>0</v>
      </c>
      <c r="I89" s="205"/>
      <c r="J89" s="205"/>
      <c r="K89" s="205"/>
      <c r="L89" s="205"/>
      <c r="M89" s="199"/>
      <c r="N89" s="608"/>
      <c r="O89" s="608"/>
      <c r="P89" s="608"/>
      <c r="Q89" s="608"/>
      <c r="R89" s="608"/>
      <c r="S89" s="199">
        <f t="shared" si="96"/>
        <v>0</v>
      </c>
      <c r="T89" s="199">
        <f t="shared" si="91"/>
        <v>0</v>
      </c>
      <c r="U89" s="223"/>
      <c r="V89" s="223"/>
      <c r="W89" s="223"/>
      <c r="X89" s="223"/>
      <c r="Y89" s="223"/>
      <c r="Z89" s="223">
        <f t="shared" si="98"/>
        <v>0</v>
      </c>
      <c r="AA89" s="205"/>
      <c r="AB89" s="205">
        <f t="shared" si="93"/>
        <v>0</v>
      </c>
      <c r="AC89" s="192" t="s">
        <v>1568</v>
      </c>
      <c r="AD89" s="642" t="s">
        <v>1892</v>
      </c>
      <c r="AE89" s="642" t="s">
        <v>2277</v>
      </c>
      <c r="AF89" s="642" t="s">
        <v>2296</v>
      </c>
      <c r="AG89" s="932" t="s">
        <v>2412</v>
      </c>
      <c r="AH89" s="932" t="s">
        <v>2449</v>
      </c>
      <c r="AI89" s="932" t="s">
        <v>2564</v>
      </c>
    </row>
    <row r="90" spans="1:35" ht="112.95" customHeight="1" thickBot="1" x14ac:dyDescent="0.4">
      <c r="A90" s="301"/>
      <c r="B90" s="1014" t="s">
        <v>1022</v>
      </c>
      <c r="C90" s="1014" t="s">
        <v>1220</v>
      </c>
      <c r="D90" s="303" t="s">
        <v>1012</v>
      </c>
      <c r="E90" s="264">
        <v>0.3</v>
      </c>
      <c r="F90" s="262">
        <v>200</v>
      </c>
      <c r="G90" s="199">
        <v>35</v>
      </c>
      <c r="H90" s="199">
        <v>60</v>
      </c>
      <c r="I90" s="205">
        <f>+G90/F90</f>
        <v>0.17499999999999999</v>
      </c>
      <c r="J90" s="205">
        <f t="shared" si="89"/>
        <v>0.3</v>
      </c>
      <c r="K90" s="205">
        <f>+(G90/F90)*E90</f>
        <v>5.2499999999999998E-2</v>
      </c>
      <c r="L90" s="205">
        <f t="shared" si="90"/>
        <v>0.09</v>
      </c>
      <c r="M90" s="199">
        <v>40</v>
      </c>
      <c r="N90" s="608">
        <v>12</v>
      </c>
      <c r="O90" s="608">
        <v>22</v>
      </c>
      <c r="P90" s="608">
        <v>9</v>
      </c>
      <c r="Q90" s="608">
        <v>9</v>
      </c>
      <c r="R90" s="608">
        <v>8</v>
      </c>
      <c r="S90" s="199">
        <f t="shared" si="96"/>
        <v>60</v>
      </c>
      <c r="T90" s="199">
        <f t="shared" si="91"/>
        <v>100</v>
      </c>
      <c r="U90" s="223">
        <v>1</v>
      </c>
      <c r="V90" s="223">
        <f t="shared" si="92"/>
        <v>1</v>
      </c>
      <c r="W90" s="223">
        <f>+U90*E90</f>
        <v>0.3</v>
      </c>
      <c r="X90" s="223">
        <f t="shared" si="97"/>
        <v>0.3</v>
      </c>
      <c r="Y90" s="223">
        <f>+M90/F90</f>
        <v>0.2</v>
      </c>
      <c r="Z90" s="223">
        <f t="shared" si="98"/>
        <v>0.5</v>
      </c>
      <c r="AA90" s="205">
        <f>+Y90*E90</f>
        <v>0.06</v>
      </c>
      <c r="AB90" s="205">
        <f t="shared" si="93"/>
        <v>0.15</v>
      </c>
      <c r="AC90" s="283" t="s">
        <v>1852</v>
      </c>
      <c r="AD90" s="642" t="s">
        <v>1892</v>
      </c>
      <c r="AE90" s="642" t="s">
        <v>2277</v>
      </c>
      <c r="AF90" s="642" t="s">
        <v>2296</v>
      </c>
      <c r="AG90" s="932" t="s">
        <v>2412</v>
      </c>
      <c r="AH90" s="932" t="s">
        <v>2449</v>
      </c>
      <c r="AI90" s="932" t="s">
        <v>2564</v>
      </c>
    </row>
    <row r="91" spans="1:35" ht="120.6" customHeight="1" thickBot="1" x14ac:dyDescent="0.4">
      <c r="A91" s="301"/>
      <c r="B91" s="1014" t="s">
        <v>1023</v>
      </c>
      <c r="C91" s="1014" t="s">
        <v>1221</v>
      </c>
      <c r="D91" s="303" t="s">
        <v>1012</v>
      </c>
      <c r="E91" s="264">
        <v>0.05</v>
      </c>
      <c r="F91" s="262">
        <v>1</v>
      </c>
      <c r="G91" s="199">
        <v>0</v>
      </c>
      <c r="H91" s="199">
        <v>0</v>
      </c>
      <c r="I91" s="205"/>
      <c r="J91" s="205"/>
      <c r="K91" s="205"/>
      <c r="L91" s="205"/>
      <c r="M91" s="199"/>
      <c r="N91" s="608"/>
      <c r="O91" s="608"/>
      <c r="P91" s="608"/>
      <c r="Q91" s="608"/>
      <c r="R91" s="608"/>
      <c r="S91" s="199">
        <f t="shared" si="96"/>
        <v>0</v>
      </c>
      <c r="T91" s="199">
        <f t="shared" si="91"/>
        <v>0</v>
      </c>
      <c r="U91" s="223"/>
      <c r="V91" s="223"/>
      <c r="W91" s="223"/>
      <c r="X91" s="223"/>
      <c r="Y91" s="223"/>
      <c r="Z91" s="223">
        <f t="shared" si="98"/>
        <v>0</v>
      </c>
      <c r="AA91" s="205"/>
      <c r="AB91" s="205">
        <f t="shared" si="93"/>
        <v>0</v>
      </c>
      <c r="AC91" s="283" t="s">
        <v>1852</v>
      </c>
      <c r="AD91" s="642" t="s">
        <v>1892</v>
      </c>
      <c r="AE91" s="642" t="s">
        <v>2277</v>
      </c>
      <c r="AF91" s="642" t="s">
        <v>2296</v>
      </c>
      <c r="AG91" s="932" t="s">
        <v>2412</v>
      </c>
      <c r="AH91" s="932" t="s">
        <v>2449</v>
      </c>
      <c r="AI91" s="932" t="s">
        <v>2564</v>
      </c>
    </row>
    <row r="92" spans="1:35" ht="67.2" customHeight="1" thickBot="1" x14ac:dyDescent="0.4">
      <c r="A92" s="301"/>
      <c r="B92" s="1340" t="s">
        <v>1833</v>
      </c>
      <c r="C92" s="1324"/>
      <c r="D92" s="303"/>
      <c r="E92" s="268">
        <v>0.05</v>
      </c>
      <c r="F92" s="252"/>
      <c r="G92" s="192"/>
      <c r="H92" s="192"/>
      <c r="I92" s="198"/>
      <c r="J92" s="198">
        <f>+AVERAGE(J93)</f>
        <v>0</v>
      </c>
      <c r="K92" s="198"/>
      <c r="L92" s="198">
        <f>+L93</f>
        <v>0</v>
      </c>
      <c r="M92" s="197"/>
      <c r="N92" s="197"/>
      <c r="O92" s="197"/>
      <c r="P92" s="197"/>
      <c r="Q92" s="197"/>
      <c r="R92" s="1218"/>
      <c r="S92" s="199"/>
      <c r="T92" s="197"/>
      <c r="U92" s="221"/>
      <c r="V92" s="221"/>
      <c r="W92" s="221"/>
      <c r="X92" s="221">
        <f>+(X93)*E92</f>
        <v>0</v>
      </c>
      <c r="Y92" s="198"/>
      <c r="Z92" s="198">
        <f>+AVERAGE(Z93)</f>
        <v>0</v>
      </c>
      <c r="AA92" s="198"/>
      <c r="AB92" s="198">
        <f>+(AB93)</f>
        <v>0</v>
      </c>
      <c r="AC92" s="192"/>
      <c r="AD92" s="615"/>
      <c r="AE92" s="192"/>
      <c r="AF92" s="192"/>
      <c r="AG92" s="683"/>
      <c r="AH92" s="192"/>
      <c r="AI92" s="186"/>
    </row>
    <row r="93" spans="1:35" ht="81.599999999999994" customHeight="1" thickBot="1" x14ac:dyDescent="0.4">
      <c r="A93" s="301"/>
      <c r="B93" s="922" t="s">
        <v>1024</v>
      </c>
      <c r="C93" s="922" t="s">
        <v>1222</v>
      </c>
      <c r="D93" s="303" t="s">
        <v>1025</v>
      </c>
      <c r="E93" s="264">
        <v>1</v>
      </c>
      <c r="F93" s="262">
        <v>6000000000</v>
      </c>
      <c r="G93" s="199"/>
      <c r="H93" s="199">
        <v>0</v>
      </c>
      <c r="I93" s="205"/>
      <c r="J93" s="205">
        <f t="shared" ref="J93" si="99">+H93/F93</f>
        <v>0</v>
      </c>
      <c r="K93" s="205"/>
      <c r="L93" s="205">
        <f t="shared" ref="L93" si="100">+(H93/F93)*E93</f>
        <v>0</v>
      </c>
      <c r="M93" s="199"/>
      <c r="N93" s="608"/>
      <c r="O93" s="199"/>
      <c r="P93" s="199"/>
      <c r="Q93" s="199"/>
      <c r="R93" s="272"/>
      <c r="S93" s="199">
        <f t="shared" si="96"/>
        <v>0</v>
      </c>
      <c r="T93" s="199">
        <f t="shared" ref="T93" si="101">+S93+M93</f>
        <v>0</v>
      </c>
      <c r="U93" s="205"/>
      <c r="V93" s="205"/>
      <c r="W93" s="205"/>
      <c r="X93" s="205">
        <f t="shared" ref="X93" si="102">+V93*E93</f>
        <v>0</v>
      </c>
      <c r="Y93" s="205"/>
      <c r="Z93" s="205">
        <f t="shared" ref="Z93" si="103">+T93/F93</f>
        <v>0</v>
      </c>
      <c r="AA93" s="205"/>
      <c r="AB93" s="205">
        <f>+Z93*E93</f>
        <v>0</v>
      </c>
      <c r="AC93" s="311" t="s">
        <v>1566</v>
      </c>
      <c r="AD93" s="719" t="s">
        <v>1940</v>
      </c>
      <c r="AE93" s="192"/>
      <c r="AF93" s="192"/>
      <c r="AG93" s="683"/>
      <c r="AH93" s="192"/>
      <c r="AI93" s="186"/>
    </row>
    <row r="94" spans="1:35" ht="67.2" customHeight="1" thickBot="1" x14ac:dyDescent="0.4">
      <c r="A94" s="301"/>
      <c r="B94" s="1340" t="s">
        <v>1834</v>
      </c>
      <c r="C94" s="1324"/>
      <c r="D94" s="303"/>
      <c r="E94" s="268">
        <v>0.2</v>
      </c>
      <c r="F94" s="252"/>
      <c r="G94" s="192"/>
      <c r="H94" s="192"/>
      <c r="I94" s="198">
        <f>+AVERAGE(I95:I98)</f>
        <v>0.18466666666666667</v>
      </c>
      <c r="J94" s="198">
        <f>+AVERAGE(J95:J98)</f>
        <v>0.29583333333333334</v>
      </c>
      <c r="K94" s="198">
        <f>+K95+K96+K97+K98</f>
        <v>0.17810000000000001</v>
      </c>
      <c r="L94" s="198">
        <f>+L95+L96+L97+L98</f>
        <v>0.29083333333333333</v>
      </c>
      <c r="M94" s="197"/>
      <c r="N94" s="197"/>
      <c r="O94" s="197"/>
      <c r="P94" s="197"/>
      <c r="Q94" s="197"/>
      <c r="R94" s="1218"/>
      <c r="S94" s="199"/>
      <c r="T94" s="197"/>
      <c r="U94" s="221">
        <f>+AVERAGE(U95:U98)</f>
        <v>1</v>
      </c>
      <c r="V94" s="221">
        <f>+AVERAGE(V95:V98)</f>
        <v>0.9906166666666667</v>
      </c>
      <c r="W94" s="221">
        <f>+(W95+W96+W97+W98)*E94</f>
        <v>0.18000000000000002</v>
      </c>
      <c r="X94" s="221">
        <f>+(X95+X96+X97+X98)*E94</f>
        <v>0.198874</v>
      </c>
      <c r="Y94" s="198">
        <f>+AVERAGE(Y95:Y98)</f>
        <v>0.18536666666666668</v>
      </c>
      <c r="Z94" s="198">
        <f>+AVERAGE(Z95:Z98)</f>
        <v>0.43321000000000004</v>
      </c>
      <c r="AA94" s="198">
        <f>+(AA95+AA96+AA97+AA98)*E94</f>
        <v>3.5682999999999999E-2</v>
      </c>
      <c r="AB94" s="198">
        <f>+(AB95+AB96+AB97+AB98)</f>
        <v>0.468026</v>
      </c>
      <c r="AC94" s="192"/>
      <c r="AD94" s="192"/>
      <c r="AE94" s="192"/>
      <c r="AF94" s="192"/>
      <c r="AG94" s="683"/>
      <c r="AH94" s="192"/>
      <c r="AI94" s="186"/>
    </row>
    <row r="95" spans="1:35" ht="94.95" customHeight="1" thickBot="1" x14ac:dyDescent="0.4">
      <c r="A95" s="301"/>
      <c r="B95" s="1014" t="s">
        <v>1026</v>
      </c>
      <c r="C95" s="1014" t="s">
        <v>1223</v>
      </c>
      <c r="D95" s="303" t="s">
        <v>1012</v>
      </c>
      <c r="E95" s="264">
        <v>0.15</v>
      </c>
      <c r="F95" s="262">
        <v>50000</v>
      </c>
      <c r="G95" s="316">
        <v>5200</v>
      </c>
      <c r="H95" s="316">
        <v>15000</v>
      </c>
      <c r="I95" s="205">
        <f>+G95/F95</f>
        <v>0.104</v>
      </c>
      <c r="J95" s="205">
        <f t="shared" ref="J95:J98" si="104">+H95/F95</f>
        <v>0.3</v>
      </c>
      <c r="K95" s="205">
        <f>+(G95/F95)*E95</f>
        <v>1.5599999999999999E-2</v>
      </c>
      <c r="L95" s="205">
        <f t="shared" ref="L95:L98" si="105">+(H95/F95)*E95</f>
        <v>4.4999999999999998E-2</v>
      </c>
      <c r="M95" s="199">
        <v>5305</v>
      </c>
      <c r="N95" s="608">
        <v>1745</v>
      </c>
      <c r="O95" s="608">
        <v>4389</v>
      </c>
      <c r="P95" s="608">
        <v>3466</v>
      </c>
      <c r="Q95" s="608">
        <v>2446</v>
      </c>
      <c r="R95" s="608">
        <v>2391</v>
      </c>
      <c r="S95" s="199">
        <f t="shared" si="96"/>
        <v>14437</v>
      </c>
      <c r="T95" s="199">
        <f t="shared" ref="T95:T98" si="106">+S95+M95</f>
        <v>19742</v>
      </c>
      <c r="U95" s="223">
        <v>1</v>
      </c>
      <c r="V95" s="223">
        <f t="shared" ref="V95:V97" si="107">+S95/H95</f>
        <v>0.96246666666666669</v>
      </c>
      <c r="W95" s="223">
        <f>+U95*E95</f>
        <v>0.15</v>
      </c>
      <c r="X95" s="223">
        <f t="shared" ref="X95:X98" si="108">+V95*E95</f>
        <v>0.14437</v>
      </c>
      <c r="Y95" s="223">
        <f>+M95/F95</f>
        <v>0.1061</v>
      </c>
      <c r="Z95" s="223">
        <f t="shared" ref="Z95:Z98" si="109">+T95/F95</f>
        <v>0.39484000000000002</v>
      </c>
      <c r="AA95" s="205">
        <f>+Y95*E95</f>
        <v>1.5914999999999999E-2</v>
      </c>
      <c r="AB95" s="205">
        <f>+Z95*E95</f>
        <v>5.9226000000000001E-2</v>
      </c>
      <c r="AC95" s="283" t="s">
        <v>1852</v>
      </c>
      <c r="AD95" s="642" t="s">
        <v>1892</v>
      </c>
      <c r="AE95" s="642" t="s">
        <v>2277</v>
      </c>
      <c r="AF95" s="642" t="s">
        <v>2296</v>
      </c>
      <c r="AG95" s="932" t="s">
        <v>2412</v>
      </c>
      <c r="AH95" s="932" t="s">
        <v>2449</v>
      </c>
      <c r="AI95" s="932" t="s">
        <v>2564</v>
      </c>
    </row>
    <row r="96" spans="1:35" ht="84.6" customHeight="1" thickBot="1" x14ac:dyDescent="0.4">
      <c r="A96" s="301"/>
      <c r="B96" s="1014" t="s">
        <v>1027</v>
      </c>
      <c r="C96" s="1014" t="s">
        <v>1224</v>
      </c>
      <c r="D96" s="303" t="s">
        <v>1012</v>
      </c>
      <c r="E96" s="307">
        <v>0.25</v>
      </c>
      <c r="F96" s="262">
        <v>4</v>
      </c>
      <c r="G96" s="316">
        <v>1</v>
      </c>
      <c r="H96" s="316">
        <v>1</v>
      </c>
      <c r="I96" s="205">
        <f>+G96/F96</f>
        <v>0.25</v>
      </c>
      <c r="J96" s="205">
        <f t="shared" si="104"/>
        <v>0.25</v>
      </c>
      <c r="K96" s="205">
        <f>+(G96/F96)*E96</f>
        <v>6.25E-2</v>
      </c>
      <c r="L96" s="205">
        <f t="shared" si="105"/>
        <v>6.25E-2</v>
      </c>
      <c r="M96" s="199">
        <v>1</v>
      </c>
      <c r="N96" s="608">
        <v>0</v>
      </c>
      <c r="O96" s="608">
        <v>0</v>
      </c>
      <c r="P96" s="608">
        <v>0.25</v>
      </c>
      <c r="Q96" s="608">
        <v>0.75</v>
      </c>
      <c r="R96" s="608"/>
      <c r="S96" s="199">
        <f t="shared" si="96"/>
        <v>1</v>
      </c>
      <c r="T96" s="199">
        <f t="shared" si="106"/>
        <v>2</v>
      </c>
      <c r="U96" s="223">
        <f>+(M96/G96)</f>
        <v>1</v>
      </c>
      <c r="V96" s="223">
        <v>1</v>
      </c>
      <c r="W96" s="223">
        <f>+U96*E96</f>
        <v>0.25</v>
      </c>
      <c r="X96" s="223">
        <f t="shared" si="108"/>
        <v>0.25</v>
      </c>
      <c r="Y96" s="223">
        <f>+M96/F96</f>
        <v>0.25</v>
      </c>
      <c r="Z96" s="223">
        <f t="shared" si="109"/>
        <v>0.5</v>
      </c>
      <c r="AA96" s="205">
        <f>+Y96*E96</f>
        <v>6.25E-2</v>
      </c>
      <c r="AB96" s="205">
        <f>+Z96*E96</f>
        <v>0.125</v>
      </c>
      <c r="AC96" s="192"/>
      <c r="AD96" s="642" t="s">
        <v>1892</v>
      </c>
      <c r="AE96" s="642" t="s">
        <v>2277</v>
      </c>
      <c r="AF96" s="642" t="s">
        <v>2296</v>
      </c>
      <c r="AG96" s="932" t="s">
        <v>2412</v>
      </c>
      <c r="AH96" s="932" t="s">
        <v>2449</v>
      </c>
      <c r="AI96" s="932" t="s">
        <v>2564</v>
      </c>
    </row>
    <row r="97" spans="1:35" ht="103.95" customHeight="1" thickBot="1" x14ac:dyDescent="0.4">
      <c r="A97" s="301"/>
      <c r="B97" s="1014" t="s">
        <v>1028</v>
      </c>
      <c r="C97" s="1014" t="s">
        <v>1225</v>
      </c>
      <c r="D97" s="303" t="s">
        <v>1012</v>
      </c>
      <c r="E97" s="318">
        <v>0.5</v>
      </c>
      <c r="F97" s="262">
        <v>20</v>
      </c>
      <c r="G97" s="316">
        <v>4</v>
      </c>
      <c r="H97" s="316">
        <v>6</v>
      </c>
      <c r="I97" s="205">
        <f>+G97/F97</f>
        <v>0.2</v>
      </c>
      <c r="J97" s="205">
        <f t="shared" si="104"/>
        <v>0.3</v>
      </c>
      <c r="K97" s="205">
        <f>+(G97/F97)*E97</f>
        <v>0.1</v>
      </c>
      <c r="L97" s="205">
        <f t="shared" si="105"/>
        <v>0.15</v>
      </c>
      <c r="M97" s="199">
        <v>4</v>
      </c>
      <c r="N97" s="608">
        <v>1</v>
      </c>
      <c r="O97" s="608">
        <v>0</v>
      </c>
      <c r="P97" s="608">
        <v>3</v>
      </c>
      <c r="Q97" s="608">
        <v>1</v>
      </c>
      <c r="R97" s="608">
        <v>1</v>
      </c>
      <c r="S97" s="199">
        <f t="shared" si="96"/>
        <v>6</v>
      </c>
      <c r="T97" s="199">
        <f t="shared" si="106"/>
        <v>10</v>
      </c>
      <c r="U97" s="223">
        <f>+(M97/G97)</f>
        <v>1</v>
      </c>
      <c r="V97" s="223">
        <f t="shared" si="107"/>
        <v>1</v>
      </c>
      <c r="W97" s="223">
        <f>+U97*E97</f>
        <v>0.5</v>
      </c>
      <c r="X97" s="223">
        <f t="shared" si="108"/>
        <v>0.5</v>
      </c>
      <c r="Y97" s="223">
        <f>+M97/F97</f>
        <v>0.2</v>
      </c>
      <c r="Z97" s="223">
        <f t="shared" si="109"/>
        <v>0.5</v>
      </c>
      <c r="AA97" s="205">
        <f>+Y97*E97</f>
        <v>0.1</v>
      </c>
      <c r="AB97" s="205">
        <f>+Z97*E97</f>
        <v>0.25</v>
      </c>
      <c r="AC97" s="283" t="s">
        <v>1852</v>
      </c>
      <c r="AD97" s="642" t="s">
        <v>1892</v>
      </c>
      <c r="AE97" s="642" t="s">
        <v>2277</v>
      </c>
      <c r="AF97" s="642" t="s">
        <v>2296</v>
      </c>
      <c r="AG97" s="932" t="s">
        <v>2412</v>
      </c>
      <c r="AH97" s="932" t="s">
        <v>2449</v>
      </c>
      <c r="AI97" s="932" t="s">
        <v>2564</v>
      </c>
    </row>
    <row r="98" spans="1:35" ht="113.4" customHeight="1" thickBot="1" x14ac:dyDescent="0.4">
      <c r="A98" s="301"/>
      <c r="B98" s="1014" t="s">
        <v>1029</v>
      </c>
      <c r="C98" s="1014" t="s">
        <v>1226</v>
      </c>
      <c r="D98" s="303" t="s">
        <v>1012</v>
      </c>
      <c r="E98" s="261">
        <v>0.1</v>
      </c>
      <c r="F98" s="262">
        <v>1500</v>
      </c>
      <c r="G98" s="319">
        <v>0</v>
      </c>
      <c r="H98" s="319">
        <v>500</v>
      </c>
      <c r="I98" s="205"/>
      <c r="J98" s="205">
        <f t="shared" si="104"/>
        <v>0.33333333333333331</v>
      </c>
      <c r="K98" s="205"/>
      <c r="L98" s="205">
        <f t="shared" si="105"/>
        <v>3.3333333333333333E-2</v>
      </c>
      <c r="M98" s="199"/>
      <c r="N98" s="608">
        <v>0</v>
      </c>
      <c r="O98" s="608">
        <v>0</v>
      </c>
      <c r="P98" s="608">
        <v>0</v>
      </c>
      <c r="Q98" s="608">
        <v>400</v>
      </c>
      <c r="R98" s="608">
        <v>107</v>
      </c>
      <c r="S98" s="199">
        <f t="shared" si="96"/>
        <v>507</v>
      </c>
      <c r="T98" s="199">
        <f t="shared" si="106"/>
        <v>507</v>
      </c>
      <c r="U98" s="223"/>
      <c r="V98" s="223">
        <v>1</v>
      </c>
      <c r="W98" s="223"/>
      <c r="X98" s="223">
        <f t="shared" si="108"/>
        <v>0.1</v>
      </c>
      <c r="Y98" s="223"/>
      <c r="Z98" s="223">
        <f t="shared" si="109"/>
        <v>0.33800000000000002</v>
      </c>
      <c r="AA98" s="205"/>
      <c r="AB98" s="205">
        <f>+Z98*E98</f>
        <v>3.3800000000000004E-2</v>
      </c>
      <c r="AC98" s="283" t="s">
        <v>1852</v>
      </c>
      <c r="AD98" s="661" t="s">
        <v>1920</v>
      </c>
      <c r="AE98" s="642" t="s">
        <v>2277</v>
      </c>
      <c r="AF98" s="642" t="s">
        <v>2296</v>
      </c>
      <c r="AG98" s="932" t="s">
        <v>2412</v>
      </c>
      <c r="AH98" s="932" t="s">
        <v>2449</v>
      </c>
      <c r="AI98" s="932" t="s">
        <v>2564</v>
      </c>
    </row>
    <row r="99" spans="1:35" ht="67.2" customHeight="1" thickBot="1" x14ac:dyDescent="0.4">
      <c r="A99" s="301"/>
      <c r="B99" s="1340" t="s">
        <v>1774</v>
      </c>
      <c r="C99" s="1324"/>
      <c r="D99" s="303"/>
      <c r="E99" s="268">
        <v>0.1</v>
      </c>
      <c r="F99" s="252"/>
      <c r="G99" s="199"/>
      <c r="H99" s="199"/>
      <c r="I99" s="198">
        <f>+AVERAGE(I100:I104)</f>
        <v>0.25</v>
      </c>
      <c r="J99" s="198">
        <f>+AVERAGE(J100:J104)</f>
        <v>0.55000000000000004</v>
      </c>
      <c r="K99" s="198">
        <f>+K100+K101+K102+K103+K104</f>
        <v>0.185</v>
      </c>
      <c r="L99" s="198">
        <f>+L100+L101+L102+L103+L104</f>
        <v>0.44500000000000001</v>
      </c>
      <c r="M99" s="197"/>
      <c r="N99" s="197"/>
      <c r="O99" s="197"/>
      <c r="P99" s="197"/>
      <c r="Q99" s="197"/>
      <c r="R99" s="1218"/>
      <c r="S99" s="199"/>
      <c r="T99" s="197"/>
      <c r="U99" s="221">
        <f>+AVERAGE(U100:U104)</f>
        <v>1</v>
      </c>
      <c r="V99" s="221">
        <f>+AVERAGE(V100:V104)</f>
        <v>1</v>
      </c>
      <c r="W99" s="221">
        <f>+(W100+W101+W102+W103+W104)*E99</f>
        <v>7.3999999999999996E-2</v>
      </c>
      <c r="X99" s="221">
        <f>+(X100+X101+X102+X103+X104)*E99</f>
        <v>0.1</v>
      </c>
      <c r="Y99" s="198">
        <f>+AVERAGE(Y100:Y104)</f>
        <v>0.26166666666666666</v>
      </c>
      <c r="Z99" s="198">
        <f>+AVERAGE(Z100:Z104)</f>
        <v>0.70804999999999996</v>
      </c>
      <c r="AA99" s="198">
        <f>+(AA100+AA101+AA102+AA103+AA104)*E99</f>
        <v>2.095E-2</v>
      </c>
      <c r="AB99" s="198">
        <f>+(AB100+AB101+AB102+AB103+AB104)</f>
        <v>0.65817499999999995</v>
      </c>
      <c r="AC99" s="192"/>
      <c r="AD99" s="192"/>
      <c r="AE99" s="192"/>
      <c r="AF99" s="192"/>
      <c r="AG99" s="683"/>
      <c r="AH99" s="192"/>
      <c r="AI99" s="186"/>
    </row>
    <row r="100" spans="1:35" ht="101.4" customHeight="1" thickBot="1" x14ac:dyDescent="0.4">
      <c r="A100" s="301"/>
      <c r="B100" s="1014" t="s">
        <v>1030</v>
      </c>
      <c r="C100" s="1014" t="s">
        <v>1227</v>
      </c>
      <c r="D100" s="303" t="s">
        <v>58</v>
      </c>
      <c r="E100" s="264">
        <v>0.06</v>
      </c>
      <c r="F100" s="262">
        <v>1</v>
      </c>
      <c r="G100" s="199">
        <v>0</v>
      </c>
      <c r="H100" s="199">
        <v>1</v>
      </c>
      <c r="I100" s="205"/>
      <c r="J100" s="205">
        <f t="shared" ref="J100:J104" si="110">+H100/F100</f>
        <v>1</v>
      </c>
      <c r="K100" s="205"/>
      <c r="L100" s="205">
        <f t="shared" ref="L100:L104" si="111">+(H100/F100)*E100</f>
        <v>0.06</v>
      </c>
      <c r="M100" s="199"/>
      <c r="N100" s="608">
        <v>0</v>
      </c>
      <c r="O100" s="608">
        <v>0.25</v>
      </c>
      <c r="P100" s="608">
        <v>0</v>
      </c>
      <c r="Q100" s="608">
        <v>0.25</v>
      </c>
      <c r="R100" s="608">
        <v>0.5</v>
      </c>
      <c r="S100" s="199">
        <f t="shared" si="96"/>
        <v>1</v>
      </c>
      <c r="T100" s="199">
        <f t="shared" ref="T100:T104" si="112">+S100+M100</f>
        <v>1</v>
      </c>
      <c r="U100" s="205"/>
      <c r="V100" s="223">
        <f t="shared" ref="V100:V104" si="113">+S100/H100</f>
        <v>1</v>
      </c>
      <c r="W100" s="223"/>
      <c r="X100" s="223">
        <f t="shared" ref="X100:X104" si="114">+V100*E100</f>
        <v>0.06</v>
      </c>
      <c r="Y100" s="223"/>
      <c r="Z100" s="223">
        <f t="shared" ref="Z100:Z104" si="115">+T100/F100</f>
        <v>1</v>
      </c>
      <c r="AA100" s="205"/>
      <c r="AB100" s="205">
        <f>+Z100*E100</f>
        <v>0.06</v>
      </c>
      <c r="AC100" s="283" t="s">
        <v>1852</v>
      </c>
      <c r="AD100" s="661" t="s">
        <v>1920</v>
      </c>
      <c r="AE100" s="642" t="s">
        <v>2277</v>
      </c>
      <c r="AF100" s="642" t="s">
        <v>2296</v>
      </c>
      <c r="AG100" s="932" t="s">
        <v>2412</v>
      </c>
      <c r="AH100" s="932" t="s">
        <v>2449</v>
      </c>
      <c r="AI100" s="932" t="s">
        <v>2566</v>
      </c>
    </row>
    <row r="101" spans="1:35" ht="89.4" customHeight="1" thickBot="1" x14ac:dyDescent="0.4">
      <c r="A101" s="301"/>
      <c r="B101" s="1014" t="s">
        <v>1031</v>
      </c>
      <c r="C101" s="1014" t="s">
        <v>1228</v>
      </c>
      <c r="D101" s="303" t="s">
        <v>58</v>
      </c>
      <c r="E101" s="264">
        <v>0.2</v>
      </c>
      <c r="F101" s="262">
        <v>1</v>
      </c>
      <c r="G101" s="199">
        <v>0</v>
      </c>
      <c r="H101" s="199">
        <v>1</v>
      </c>
      <c r="I101" s="205"/>
      <c r="J101" s="205">
        <f t="shared" si="110"/>
        <v>1</v>
      </c>
      <c r="K101" s="205"/>
      <c r="L101" s="205">
        <f t="shared" si="111"/>
        <v>0.2</v>
      </c>
      <c r="M101" s="199"/>
      <c r="N101" s="608">
        <v>0</v>
      </c>
      <c r="O101" s="608">
        <v>0.5</v>
      </c>
      <c r="P101" s="608">
        <v>0.5</v>
      </c>
      <c r="Q101" s="608">
        <v>0</v>
      </c>
      <c r="R101" s="608">
        <v>0</v>
      </c>
      <c r="S101" s="199">
        <f t="shared" si="96"/>
        <v>1</v>
      </c>
      <c r="T101" s="199">
        <f t="shared" si="112"/>
        <v>1</v>
      </c>
      <c r="U101" s="205"/>
      <c r="V101" s="223">
        <f t="shared" si="113"/>
        <v>1</v>
      </c>
      <c r="W101" s="223"/>
      <c r="X101" s="223">
        <f t="shared" si="114"/>
        <v>0.2</v>
      </c>
      <c r="Y101" s="223"/>
      <c r="Z101" s="223">
        <f t="shared" si="115"/>
        <v>1</v>
      </c>
      <c r="AA101" s="205"/>
      <c r="AB101" s="205">
        <f t="shared" ref="AB101:AB104" si="116">+Z101*E101</f>
        <v>0.2</v>
      </c>
      <c r="AC101" s="283" t="s">
        <v>1852</v>
      </c>
      <c r="AD101" s="661" t="s">
        <v>1920</v>
      </c>
      <c r="AE101" s="642" t="s">
        <v>2277</v>
      </c>
      <c r="AF101" s="642" t="s">
        <v>2296</v>
      </c>
      <c r="AG101" s="932" t="s">
        <v>2412</v>
      </c>
      <c r="AH101" s="932" t="s">
        <v>2449</v>
      </c>
      <c r="AI101" s="932" t="s">
        <v>2564</v>
      </c>
    </row>
    <row r="102" spans="1:35" ht="83.4" customHeight="1" thickBot="1" x14ac:dyDescent="0.4">
      <c r="A102" s="301"/>
      <c r="B102" s="1014" t="s">
        <v>1032</v>
      </c>
      <c r="C102" s="1014" t="s">
        <v>1229</v>
      </c>
      <c r="D102" s="303" t="s">
        <v>58</v>
      </c>
      <c r="E102" s="264">
        <v>0.7</v>
      </c>
      <c r="F102" s="262">
        <v>8000</v>
      </c>
      <c r="G102" s="199">
        <v>2000</v>
      </c>
      <c r="H102" s="199">
        <v>2000</v>
      </c>
      <c r="I102" s="205">
        <f>+G102/F102</f>
        <v>0.25</v>
      </c>
      <c r="J102" s="205">
        <f t="shared" si="110"/>
        <v>0.25</v>
      </c>
      <c r="K102" s="205">
        <f>+(G102/F102)*E102</f>
        <v>0.17499999999999999</v>
      </c>
      <c r="L102" s="205">
        <f t="shared" si="111"/>
        <v>0.17499999999999999</v>
      </c>
      <c r="M102" s="199">
        <v>2280</v>
      </c>
      <c r="N102" s="608">
        <v>309</v>
      </c>
      <c r="O102" s="608">
        <v>926</v>
      </c>
      <c r="P102" s="608">
        <v>604</v>
      </c>
      <c r="Q102" s="608">
        <v>168</v>
      </c>
      <c r="R102" s="608">
        <v>35</v>
      </c>
      <c r="S102" s="199">
        <f t="shared" si="96"/>
        <v>2042</v>
      </c>
      <c r="T102" s="199">
        <f t="shared" si="112"/>
        <v>4322</v>
      </c>
      <c r="U102" s="205">
        <v>1</v>
      </c>
      <c r="V102" s="223">
        <v>1</v>
      </c>
      <c r="W102" s="223">
        <f>+U102*E102</f>
        <v>0.7</v>
      </c>
      <c r="X102" s="223">
        <f t="shared" si="114"/>
        <v>0.7</v>
      </c>
      <c r="Y102" s="223">
        <f>+M102/F102</f>
        <v>0.28499999999999998</v>
      </c>
      <c r="Z102" s="223">
        <f t="shared" si="115"/>
        <v>0.54025000000000001</v>
      </c>
      <c r="AA102" s="205">
        <f>+Y102*E102</f>
        <v>0.19949999999999998</v>
      </c>
      <c r="AB102" s="205">
        <f t="shared" si="116"/>
        <v>0.37817499999999998</v>
      </c>
      <c r="AC102" s="283" t="s">
        <v>1852</v>
      </c>
      <c r="AD102" s="642" t="s">
        <v>1893</v>
      </c>
      <c r="AE102" s="642" t="s">
        <v>2277</v>
      </c>
      <c r="AF102" s="642" t="s">
        <v>2296</v>
      </c>
      <c r="AG102" s="932" t="s">
        <v>2412</v>
      </c>
      <c r="AH102" s="932" t="s">
        <v>2449</v>
      </c>
      <c r="AI102" s="932" t="s">
        <v>2564</v>
      </c>
    </row>
    <row r="103" spans="1:35" ht="99" customHeight="1" thickBot="1" x14ac:dyDescent="0.4">
      <c r="A103" s="301"/>
      <c r="B103" s="1014" t="s">
        <v>1033</v>
      </c>
      <c r="C103" s="1014" t="s">
        <v>1230</v>
      </c>
      <c r="D103" s="303" t="s">
        <v>58</v>
      </c>
      <c r="E103" s="264">
        <v>0.02</v>
      </c>
      <c r="F103" s="262">
        <v>4</v>
      </c>
      <c r="G103" s="199">
        <v>1</v>
      </c>
      <c r="H103" s="199">
        <v>1</v>
      </c>
      <c r="I103" s="205">
        <f>+G103/F103</f>
        <v>0.25</v>
      </c>
      <c r="J103" s="205">
        <f t="shared" si="110"/>
        <v>0.25</v>
      </c>
      <c r="K103" s="205">
        <f>+(G103/F103)*E103</f>
        <v>5.0000000000000001E-3</v>
      </c>
      <c r="L103" s="205">
        <f t="shared" si="111"/>
        <v>5.0000000000000001E-3</v>
      </c>
      <c r="M103" s="199">
        <v>1</v>
      </c>
      <c r="N103" s="608">
        <v>0</v>
      </c>
      <c r="O103" s="608">
        <v>0</v>
      </c>
      <c r="P103" s="608">
        <v>1</v>
      </c>
      <c r="Q103" s="608">
        <v>0</v>
      </c>
      <c r="R103" s="608">
        <v>0</v>
      </c>
      <c r="S103" s="199">
        <f t="shared" si="96"/>
        <v>1</v>
      </c>
      <c r="T103" s="199">
        <f t="shared" si="112"/>
        <v>2</v>
      </c>
      <c r="U103" s="205">
        <f>+(M103/G103)</f>
        <v>1</v>
      </c>
      <c r="V103" s="223">
        <f t="shared" si="113"/>
        <v>1</v>
      </c>
      <c r="W103" s="223">
        <f>+U103*E103</f>
        <v>0.02</v>
      </c>
      <c r="X103" s="223">
        <f t="shared" si="114"/>
        <v>0.02</v>
      </c>
      <c r="Y103" s="223">
        <f>+M103/F103</f>
        <v>0.25</v>
      </c>
      <c r="Z103" s="223">
        <f t="shared" si="115"/>
        <v>0.5</v>
      </c>
      <c r="AA103" s="205">
        <f>+Y103*E103</f>
        <v>5.0000000000000001E-3</v>
      </c>
      <c r="AB103" s="205">
        <f t="shared" si="116"/>
        <v>0.01</v>
      </c>
      <c r="AC103" s="283" t="s">
        <v>1852</v>
      </c>
      <c r="AD103" s="642" t="s">
        <v>1893</v>
      </c>
      <c r="AE103" s="642" t="s">
        <v>2277</v>
      </c>
      <c r="AF103" s="642" t="s">
        <v>2296</v>
      </c>
      <c r="AG103" s="932" t="s">
        <v>2412</v>
      </c>
      <c r="AH103" s="932" t="s">
        <v>2449</v>
      </c>
      <c r="AI103" s="932" t="s">
        <v>2564</v>
      </c>
    </row>
    <row r="104" spans="1:35" ht="99" customHeight="1" thickBot="1" x14ac:dyDescent="0.4">
      <c r="A104" s="301"/>
      <c r="B104" s="1014" t="s">
        <v>1034</v>
      </c>
      <c r="C104" s="1014" t="s">
        <v>1231</v>
      </c>
      <c r="D104" s="303" t="s">
        <v>58</v>
      </c>
      <c r="E104" s="307">
        <v>0.02</v>
      </c>
      <c r="F104" s="262">
        <v>4</v>
      </c>
      <c r="G104" s="199">
        <v>1</v>
      </c>
      <c r="H104" s="199">
        <v>1</v>
      </c>
      <c r="I104" s="205">
        <f>+G104/F104</f>
        <v>0.25</v>
      </c>
      <c r="J104" s="205">
        <f t="shared" si="110"/>
        <v>0.25</v>
      </c>
      <c r="K104" s="205">
        <f>+(G104/F104)*E104</f>
        <v>5.0000000000000001E-3</v>
      </c>
      <c r="L104" s="205">
        <f t="shared" si="111"/>
        <v>5.0000000000000001E-3</v>
      </c>
      <c r="M104" s="199">
        <v>1</v>
      </c>
      <c r="N104" s="608">
        <v>0.25</v>
      </c>
      <c r="O104" s="608">
        <v>0.25</v>
      </c>
      <c r="P104" s="608">
        <v>0.25</v>
      </c>
      <c r="Q104" s="608">
        <v>0.25</v>
      </c>
      <c r="R104" s="608">
        <v>0</v>
      </c>
      <c r="S104" s="199">
        <f t="shared" si="96"/>
        <v>1</v>
      </c>
      <c r="T104" s="199">
        <f t="shared" si="112"/>
        <v>2</v>
      </c>
      <c r="U104" s="205">
        <f>+(M104/G104)</f>
        <v>1</v>
      </c>
      <c r="V104" s="223">
        <f t="shared" si="113"/>
        <v>1</v>
      </c>
      <c r="W104" s="223">
        <f>+U104*E104</f>
        <v>0.02</v>
      </c>
      <c r="X104" s="223">
        <f t="shared" si="114"/>
        <v>0.02</v>
      </c>
      <c r="Y104" s="223">
        <f>+M104/F104</f>
        <v>0.25</v>
      </c>
      <c r="Z104" s="223">
        <f t="shared" si="115"/>
        <v>0.5</v>
      </c>
      <c r="AA104" s="205">
        <f>+Y104*E104</f>
        <v>5.0000000000000001E-3</v>
      </c>
      <c r="AB104" s="205">
        <f t="shared" si="116"/>
        <v>0.01</v>
      </c>
      <c r="AC104" s="283" t="s">
        <v>1852</v>
      </c>
      <c r="AD104" s="642" t="s">
        <v>1893</v>
      </c>
      <c r="AE104" s="642" t="s">
        <v>2277</v>
      </c>
      <c r="AF104" s="642" t="s">
        <v>2296</v>
      </c>
      <c r="AG104" s="932" t="s">
        <v>2412</v>
      </c>
      <c r="AH104" s="932" t="s">
        <v>2449</v>
      </c>
      <c r="AI104" s="932" t="s">
        <v>2564</v>
      </c>
    </row>
    <row r="105" spans="1:35" ht="67.2" customHeight="1" thickBot="1" x14ac:dyDescent="0.4">
      <c r="A105" s="301"/>
      <c r="B105" s="1340" t="s">
        <v>1775</v>
      </c>
      <c r="C105" s="1324"/>
      <c r="D105" s="303"/>
      <c r="E105" s="309">
        <v>0.2</v>
      </c>
      <c r="F105" s="262"/>
      <c r="G105" s="192"/>
      <c r="H105" s="192"/>
      <c r="I105" s="198">
        <f>+AVERAGE(I106:I108)</f>
        <v>0.30555555555555552</v>
      </c>
      <c r="J105" s="198">
        <f>+AVERAGE(J106:J108)</f>
        <v>0.33333333333333331</v>
      </c>
      <c r="K105" s="198">
        <f>+K106+K107+K108</f>
        <v>0.34166666666666667</v>
      </c>
      <c r="L105" s="198">
        <f>+L106+L107+L108</f>
        <v>0.375</v>
      </c>
      <c r="M105" s="197"/>
      <c r="N105" s="197"/>
      <c r="O105" s="197"/>
      <c r="P105" s="197"/>
      <c r="Q105" s="197"/>
      <c r="R105" s="1218"/>
      <c r="S105" s="199"/>
      <c r="T105" s="197"/>
      <c r="U105" s="221">
        <f>+AVERAGE(U106:U108)</f>
        <v>0.48266666666666663</v>
      </c>
      <c r="V105" s="221">
        <f>+AVERAGE(V106:V108)</f>
        <v>1</v>
      </c>
      <c r="W105" s="221">
        <f>+(W106+W107+W108)*E105</f>
        <v>5.5840000000000001E-2</v>
      </c>
      <c r="X105" s="221">
        <f>+(X106+X107+X108)*E105</f>
        <v>0.2</v>
      </c>
      <c r="Y105" s="198">
        <f>+AVERAGE(Y106:Y108)</f>
        <v>0.10822222222222222</v>
      </c>
      <c r="Z105" s="198">
        <f>+AVERAGE(Z106:Z108)</f>
        <v>0.63655555555555554</v>
      </c>
      <c r="AA105" s="198">
        <f>+(AA106+AA107+AA108)*E105</f>
        <v>1.0973333333333335E-2</v>
      </c>
      <c r="AB105" s="198">
        <f>+(AB106+AB107+AB108)</f>
        <v>0.71386666666666665</v>
      </c>
      <c r="AC105" s="192"/>
      <c r="AD105" s="192"/>
      <c r="AE105" s="192"/>
      <c r="AF105" s="192"/>
      <c r="AG105" s="683"/>
      <c r="AH105" s="192"/>
      <c r="AI105" s="186"/>
    </row>
    <row r="106" spans="1:35" ht="90" customHeight="1" thickBot="1" x14ac:dyDescent="0.4">
      <c r="A106" s="301"/>
      <c r="B106" s="1014" t="s">
        <v>1035</v>
      </c>
      <c r="C106" s="1014" t="s">
        <v>1232</v>
      </c>
      <c r="D106" s="303" t="s">
        <v>58</v>
      </c>
      <c r="E106" s="264">
        <v>0.1</v>
      </c>
      <c r="F106" s="262">
        <v>1</v>
      </c>
      <c r="G106" s="199">
        <v>0.25</v>
      </c>
      <c r="H106" s="199">
        <v>0.25</v>
      </c>
      <c r="I106" s="205">
        <f>+G106/F106</f>
        <v>0.25</v>
      </c>
      <c r="J106" s="205">
        <f t="shared" ref="J106:J108" si="117">+H106/F106</f>
        <v>0.25</v>
      </c>
      <c r="K106" s="205">
        <f>+(G106/F106)*E106</f>
        <v>2.5000000000000001E-2</v>
      </c>
      <c r="L106" s="205">
        <f t="shared" ref="L106:L108" si="118">+(H106/F106)*E106</f>
        <v>2.5000000000000001E-2</v>
      </c>
      <c r="M106" s="199">
        <v>0.25</v>
      </c>
      <c r="N106" s="608">
        <v>0</v>
      </c>
      <c r="O106" s="608">
        <v>0.125</v>
      </c>
      <c r="P106" s="608">
        <v>0</v>
      </c>
      <c r="Q106" s="608">
        <v>0</v>
      </c>
      <c r="R106" s="608">
        <v>0.125</v>
      </c>
      <c r="S106" s="199">
        <f t="shared" si="96"/>
        <v>0.25</v>
      </c>
      <c r="T106" s="199">
        <f t="shared" ref="T106:T108" si="119">+S106+M106</f>
        <v>0.5</v>
      </c>
      <c r="U106" s="205">
        <f>+(M106/G106)</f>
        <v>1</v>
      </c>
      <c r="V106" s="223">
        <f t="shared" ref="V106" si="120">+S106/H106</f>
        <v>1</v>
      </c>
      <c r="W106" s="223">
        <f>+U106*E106</f>
        <v>0.1</v>
      </c>
      <c r="X106" s="223">
        <f t="shared" ref="X106:X108" si="121">+V106*E106</f>
        <v>0.1</v>
      </c>
      <c r="Y106" s="223">
        <f>+M106/F106</f>
        <v>0.25</v>
      </c>
      <c r="Z106" s="223">
        <f t="shared" ref="Z106:Z108" si="122">+T106/F106</f>
        <v>0.5</v>
      </c>
      <c r="AA106" s="205">
        <f>+Y106*E106</f>
        <v>2.5000000000000001E-2</v>
      </c>
      <c r="AB106" s="205">
        <f>+Z106*E106</f>
        <v>0.05</v>
      </c>
      <c r="AC106" s="283" t="s">
        <v>1852</v>
      </c>
      <c r="AD106" s="642" t="s">
        <v>1893</v>
      </c>
      <c r="AE106" s="642" t="s">
        <v>2277</v>
      </c>
      <c r="AF106" s="642" t="s">
        <v>2296</v>
      </c>
      <c r="AG106" s="932" t="s">
        <v>2412</v>
      </c>
      <c r="AH106" s="932" t="s">
        <v>2449</v>
      </c>
      <c r="AI106" s="932" t="s">
        <v>2564</v>
      </c>
    </row>
    <row r="107" spans="1:35" ht="94.2" customHeight="1" thickBot="1" x14ac:dyDescent="0.4">
      <c r="A107" s="301"/>
      <c r="B107" s="1014" t="s">
        <v>1036</v>
      </c>
      <c r="C107" s="1014" t="s">
        <v>1233</v>
      </c>
      <c r="D107" s="303" t="s">
        <v>58</v>
      </c>
      <c r="E107" s="264">
        <v>0.4</v>
      </c>
      <c r="F107" s="262">
        <v>3000</v>
      </c>
      <c r="G107" s="199">
        <v>500</v>
      </c>
      <c r="H107" s="199">
        <v>750</v>
      </c>
      <c r="I107" s="205">
        <f>+G107/F107</f>
        <v>0.16666666666666666</v>
      </c>
      <c r="J107" s="205">
        <f t="shared" si="117"/>
        <v>0.25</v>
      </c>
      <c r="K107" s="205">
        <f>+(G107/F107)*E107</f>
        <v>6.6666666666666666E-2</v>
      </c>
      <c r="L107" s="205">
        <f t="shared" si="118"/>
        <v>0.1</v>
      </c>
      <c r="M107" s="199">
        <v>224</v>
      </c>
      <c r="N107" s="608">
        <v>162</v>
      </c>
      <c r="O107" s="608">
        <v>8</v>
      </c>
      <c r="P107" s="608">
        <v>118</v>
      </c>
      <c r="Q107" s="608">
        <v>641</v>
      </c>
      <c r="R107" s="608">
        <v>76</v>
      </c>
      <c r="S107" s="199">
        <f t="shared" si="96"/>
        <v>1005</v>
      </c>
      <c r="T107" s="199">
        <f t="shared" si="119"/>
        <v>1229</v>
      </c>
      <c r="U107" s="205">
        <f>+(M107/G107)</f>
        <v>0.44800000000000001</v>
      </c>
      <c r="V107" s="223">
        <v>1</v>
      </c>
      <c r="W107" s="223">
        <f>+U107*E107</f>
        <v>0.17920000000000003</v>
      </c>
      <c r="X107" s="223">
        <f t="shared" si="121"/>
        <v>0.4</v>
      </c>
      <c r="Y107" s="223">
        <f>+M107/F107</f>
        <v>7.4666666666666673E-2</v>
      </c>
      <c r="Z107" s="223">
        <f t="shared" si="122"/>
        <v>0.40966666666666668</v>
      </c>
      <c r="AA107" s="205">
        <f>+Y107*E107</f>
        <v>2.986666666666667E-2</v>
      </c>
      <c r="AB107" s="205">
        <f>+Z107*E107</f>
        <v>0.16386666666666669</v>
      </c>
      <c r="AC107" s="283" t="s">
        <v>1852</v>
      </c>
      <c r="AD107" s="642" t="s">
        <v>1893</v>
      </c>
      <c r="AE107" s="642" t="s">
        <v>2277</v>
      </c>
      <c r="AF107" s="642" t="s">
        <v>2296</v>
      </c>
      <c r="AG107" s="932" t="s">
        <v>2412</v>
      </c>
      <c r="AH107" s="932" t="s">
        <v>2449</v>
      </c>
      <c r="AI107" s="932" t="s">
        <v>2564</v>
      </c>
    </row>
    <row r="108" spans="1:35" ht="67.2" customHeight="1" thickBot="1" x14ac:dyDescent="0.4">
      <c r="A108" s="301"/>
      <c r="B108" s="1014" t="s">
        <v>1037</v>
      </c>
      <c r="C108" s="1014" t="s">
        <v>1234</v>
      </c>
      <c r="D108" s="303" t="s">
        <v>58</v>
      </c>
      <c r="E108" s="264">
        <v>0.5</v>
      </c>
      <c r="F108" s="262">
        <v>1</v>
      </c>
      <c r="G108" s="199">
        <v>0.5</v>
      </c>
      <c r="H108" s="199">
        <v>0.5</v>
      </c>
      <c r="I108" s="205">
        <f>+G108/F108</f>
        <v>0.5</v>
      </c>
      <c r="J108" s="205">
        <f t="shared" si="117"/>
        <v>0.5</v>
      </c>
      <c r="K108" s="205">
        <f>+(G108/F108)*E108</f>
        <v>0.25</v>
      </c>
      <c r="L108" s="205">
        <f t="shared" si="118"/>
        <v>0.25</v>
      </c>
      <c r="M108" s="199">
        <v>0</v>
      </c>
      <c r="N108" s="608">
        <v>0</v>
      </c>
      <c r="O108" s="608">
        <v>0</v>
      </c>
      <c r="P108" s="608">
        <v>0</v>
      </c>
      <c r="Q108" s="608">
        <v>1</v>
      </c>
      <c r="R108" s="608">
        <v>0</v>
      </c>
      <c r="S108" s="199">
        <f t="shared" si="96"/>
        <v>1</v>
      </c>
      <c r="T108" s="199">
        <f t="shared" si="119"/>
        <v>1</v>
      </c>
      <c r="U108" s="205">
        <f>+(M108/G108)</f>
        <v>0</v>
      </c>
      <c r="V108" s="223">
        <v>1</v>
      </c>
      <c r="W108" s="223">
        <f>+U108*E108</f>
        <v>0</v>
      </c>
      <c r="X108" s="223">
        <f t="shared" si="121"/>
        <v>0.5</v>
      </c>
      <c r="Y108" s="223">
        <f>+M108/F108</f>
        <v>0</v>
      </c>
      <c r="Z108" s="223">
        <f t="shared" si="122"/>
        <v>1</v>
      </c>
      <c r="AA108" s="205">
        <f>+Y108*E108</f>
        <v>0</v>
      </c>
      <c r="AB108" s="205">
        <f>+Z108*E108</f>
        <v>0.5</v>
      </c>
      <c r="AC108" s="283" t="s">
        <v>1852</v>
      </c>
      <c r="AD108" s="642" t="s">
        <v>1893</v>
      </c>
      <c r="AE108" s="642" t="s">
        <v>2277</v>
      </c>
      <c r="AF108" s="642" t="s">
        <v>2296</v>
      </c>
      <c r="AG108" s="932" t="s">
        <v>2412</v>
      </c>
      <c r="AH108" s="932" t="s">
        <v>2466</v>
      </c>
      <c r="AI108" s="932" t="s">
        <v>2564</v>
      </c>
    </row>
    <row r="109" spans="1:35" ht="67.2" customHeight="1" thickBot="1" x14ac:dyDescent="0.4">
      <c r="A109" s="301"/>
      <c r="B109" s="1336" t="s">
        <v>1835</v>
      </c>
      <c r="C109" s="1324"/>
      <c r="D109" s="303"/>
      <c r="E109" s="270">
        <v>0.2</v>
      </c>
      <c r="F109" s="304">
        <f>E109*W109</f>
        <v>0.15047200000000005</v>
      </c>
      <c r="G109" s="192"/>
      <c r="H109" s="304">
        <f>+E109*X109</f>
        <v>0.14340000000000003</v>
      </c>
      <c r="I109" s="190">
        <f>+(I110+I116+I123+I131+I134+I139)/6</f>
        <v>0.24594907407407407</v>
      </c>
      <c r="J109" s="190">
        <f>+(J110+J116+J123+J131+J134+J139)/6</f>
        <v>0.29876710128495843</v>
      </c>
      <c r="K109" s="191">
        <f>+(K110+K116+K123+K131+K134+K139)/6</f>
        <v>0.20215277777777776</v>
      </c>
      <c r="L109" s="191">
        <f>+(L110+L116+L123+L131+L134+L139)/6</f>
        <v>0.28790873015873014</v>
      </c>
      <c r="M109" s="192"/>
      <c r="N109" s="192"/>
      <c r="O109" s="192"/>
      <c r="P109" s="192"/>
      <c r="Q109" s="192"/>
      <c r="R109" s="251"/>
      <c r="S109" s="1181"/>
      <c r="T109" s="192"/>
      <c r="U109" s="190">
        <f>+(U110+U116+U123+U131+U134+U139)/6</f>
        <v>0.92183333333333339</v>
      </c>
      <c r="V109" s="190">
        <f>+(V110+V116+V123+V131+V134+V139)/6</f>
        <v>0.87160846560846561</v>
      </c>
      <c r="W109" s="191">
        <f>+W110+W116+W123+W131+W134+W139</f>
        <v>0.75236000000000014</v>
      </c>
      <c r="X109" s="191">
        <f>+X110+X116+X123+X131+X134+X139</f>
        <v>0.71700000000000008</v>
      </c>
      <c r="Y109" s="190">
        <f>(Y110+Y116+Y123+Y131+Y134+Y139)/6</f>
        <v>0.20931944444444447</v>
      </c>
      <c r="Z109" s="190">
        <f>(Z110+Z116+Z123+Z131+Z134+Z139)/6</f>
        <v>0.56069755291005297</v>
      </c>
      <c r="AA109" s="305">
        <f>(AA110+AA116+AA123+AA131+AA134+AA139)</f>
        <v>0.18588916666666666</v>
      </c>
      <c r="AB109" s="305">
        <f>(AB110*E110+AB116*E116+AB123*E123+AB131*E131+AB134*E134+AB139*E139)</f>
        <v>0.49863416666666671</v>
      </c>
      <c r="AC109" s="192"/>
      <c r="AD109" s="192"/>
      <c r="AE109" s="192"/>
      <c r="AF109" s="192"/>
      <c r="AG109" s="683"/>
      <c r="AH109" s="192"/>
      <c r="AI109" s="186"/>
    </row>
    <row r="110" spans="1:35" ht="67.2" customHeight="1" thickBot="1" x14ac:dyDescent="0.4">
      <c r="A110" s="301"/>
      <c r="B110" s="1340" t="s">
        <v>1776</v>
      </c>
      <c r="C110" s="1324"/>
      <c r="D110" s="303"/>
      <c r="E110" s="268">
        <v>0.2</v>
      </c>
      <c r="F110" s="252"/>
      <c r="G110" s="192"/>
      <c r="H110" s="192"/>
      <c r="I110" s="198">
        <f>+AVERAGE(I111:I115)</f>
        <v>0.20833333333333331</v>
      </c>
      <c r="J110" s="198">
        <f>+AVERAGE(J111:J115)</f>
        <v>0.29833333333333334</v>
      </c>
      <c r="K110" s="198">
        <f>+K111+K112+K113+K114+K115</f>
        <v>0.10833333333333334</v>
      </c>
      <c r="L110" s="198">
        <f>+L111+L112+L113+L114+L115</f>
        <v>0.24833333333333332</v>
      </c>
      <c r="M110" s="197"/>
      <c r="N110" s="197"/>
      <c r="O110" s="197"/>
      <c r="P110" s="197"/>
      <c r="Q110" s="197"/>
      <c r="R110" s="1218"/>
      <c r="S110" s="199"/>
      <c r="T110" s="197"/>
      <c r="U110" s="221">
        <f>+AVERAGE(U111:U115)</f>
        <v>1</v>
      </c>
      <c r="V110" s="221">
        <f>+AVERAGE(V111:V115)</f>
        <v>0.98000000000000009</v>
      </c>
      <c r="W110" s="221">
        <f>+(W111+W112+W113+W114+W115)*E110</f>
        <v>0.11000000000000001</v>
      </c>
      <c r="X110" s="221">
        <f>+(X111+X112+X113+X114+X115)*E110</f>
        <v>0.19900000000000001</v>
      </c>
      <c r="Y110" s="198">
        <f>+AVERAGE(Y111:Y115)</f>
        <v>0.18888888888888888</v>
      </c>
      <c r="Z110" s="198">
        <f>+AVERAGE(Z111:Z115)</f>
        <v>0.82333333333333347</v>
      </c>
      <c r="AA110" s="198">
        <f>+(AA111+AA113+AA114+AA115)*E110</f>
        <v>2.7666666666666669E-2</v>
      </c>
      <c r="AB110" s="198">
        <f>+(AB111+AB113+AB114+AB115)</f>
        <v>0.51416666666666666</v>
      </c>
      <c r="AC110" s="192"/>
      <c r="AD110" s="192"/>
      <c r="AE110" s="192"/>
      <c r="AF110" s="192"/>
      <c r="AG110" s="683"/>
      <c r="AH110" s="192"/>
      <c r="AI110" s="186"/>
    </row>
    <row r="111" spans="1:35" ht="67.2" customHeight="1" thickBot="1" x14ac:dyDescent="0.4">
      <c r="A111" s="301"/>
      <c r="B111" s="1242" t="s">
        <v>1038</v>
      </c>
      <c r="C111" s="1014" t="s">
        <v>1235</v>
      </c>
      <c r="D111" s="303" t="s">
        <v>560</v>
      </c>
      <c r="E111" s="264">
        <v>0.2</v>
      </c>
      <c r="F111" s="262">
        <v>4</v>
      </c>
      <c r="G111" s="199">
        <v>0</v>
      </c>
      <c r="H111" s="199">
        <v>1</v>
      </c>
      <c r="I111" s="205"/>
      <c r="J111" s="205">
        <f t="shared" ref="J111:J115" si="123">+H111/F111</f>
        <v>0.25</v>
      </c>
      <c r="K111" s="205">
        <v>0</v>
      </c>
      <c r="L111" s="205">
        <f t="shared" ref="L111:L115" si="124">+(H111/F111)*E111</f>
        <v>0.05</v>
      </c>
      <c r="M111" s="272"/>
      <c r="N111" s="608">
        <v>1</v>
      </c>
      <c r="O111" s="608">
        <v>0</v>
      </c>
      <c r="P111" s="608">
        <v>4</v>
      </c>
      <c r="Q111" s="608">
        <v>0</v>
      </c>
      <c r="R111" s="608">
        <v>0</v>
      </c>
      <c r="S111" s="272">
        <f t="shared" si="96"/>
        <v>5</v>
      </c>
      <c r="T111" s="272">
        <f t="shared" ref="T111:T115" si="125">+S111+M111</f>
        <v>5</v>
      </c>
      <c r="U111" s="205"/>
      <c r="V111" s="223">
        <v>1</v>
      </c>
      <c r="W111" s="223"/>
      <c r="X111" s="223">
        <f t="shared" ref="X111:X115" si="126">+V111*E111</f>
        <v>0.2</v>
      </c>
      <c r="Y111" s="223"/>
      <c r="Z111" s="223">
        <v>1</v>
      </c>
      <c r="AA111" s="205">
        <v>0</v>
      </c>
      <c r="AB111" s="205">
        <v>0</v>
      </c>
      <c r="AC111" s="209" t="s">
        <v>1850</v>
      </c>
      <c r="AD111" s="642" t="s">
        <v>1893</v>
      </c>
      <c r="AE111" s="642" t="s">
        <v>2277</v>
      </c>
      <c r="AF111" s="642" t="s">
        <v>2296</v>
      </c>
      <c r="AG111" s="932" t="s">
        <v>2422</v>
      </c>
      <c r="AH111" s="932" t="s">
        <v>2449</v>
      </c>
      <c r="AI111" s="932" t="s">
        <v>2564</v>
      </c>
    </row>
    <row r="112" spans="1:35" ht="67.2" customHeight="1" thickBot="1" x14ac:dyDescent="0.4">
      <c r="A112" s="301"/>
      <c r="B112" s="1242" t="s">
        <v>1039</v>
      </c>
      <c r="C112" s="1014" t="s">
        <v>1236</v>
      </c>
      <c r="D112" s="303" t="s">
        <v>560</v>
      </c>
      <c r="E112" s="264">
        <v>0.2</v>
      </c>
      <c r="F112" s="262">
        <v>6</v>
      </c>
      <c r="G112" s="199">
        <v>0</v>
      </c>
      <c r="H112" s="199">
        <v>3</v>
      </c>
      <c r="I112" s="205"/>
      <c r="J112" s="205">
        <f t="shared" si="123"/>
        <v>0.5</v>
      </c>
      <c r="K112" s="205">
        <v>0</v>
      </c>
      <c r="L112" s="205">
        <f t="shared" si="124"/>
        <v>0.1</v>
      </c>
      <c r="M112" s="272"/>
      <c r="N112" s="608">
        <v>3</v>
      </c>
      <c r="O112" s="608">
        <v>0</v>
      </c>
      <c r="P112" s="608">
        <v>0</v>
      </c>
      <c r="Q112" s="608">
        <v>2</v>
      </c>
      <c r="R112" s="608"/>
      <c r="S112" s="272">
        <f t="shared" si="96"/>
        <v>5</v>
      </c>
      <c r="T112" s="272">
        <f t="shared" si="125"/>
        <v>5</v>
      </c>
      <c r="U112" s="205"/>
      <c r="V112" s="223">
        <v>1</v>
      </c>
      <c r="W112" s="223"/>
      <c r="X112" s="223">
        <f t="shared" si="126"/>
        <v>0.2</v>
      </c>
      <c r="Y112" s="223"/>
      <c r="Z112" s="223">
        <f t="shared" ref="Z112:Z115" si="127">+T112/F112</f>
        <v>0.83333333333333337</v>
      </c>
      <c r="AA112" s="205">
        <v>0</v>
      </c>
      <c r="AB112" s="205">
        <v>0</v>
      </c>
      <c r="AC112" s="209" t="s">
        <v>1850</v>
      </c>
      <c r="AD112" s="642" t="s">
        <v>1893</v>
      </c>
      <c r="AE112" s="642" t="s">
        <v>2277</v>
      </c>
      <c r="AF112" s="642" t="s">
        <v>2296</v>
      </c>
      <c r="AG112" s="932" t="s">
        <v>2422</v>
      </c>
      <c r="AH112" s="932" t="s">
        <v>2449</v>
      </c>
      <c r="AI112" s="932" t="s">
        <v>2564</v>
      </c>
    </row>
    <row r="113" spans="1:35" ht="67.2" customHeight="1" thickBot="1" x14ac:dyDescent="0.4">
      <c r="A113" s="301"/>
      <c r="B113" s="1242" t="s">
        <v>1040</v>
      </c>
      <c r="C113" s="1014" t="s">
        <v>1237</v>
      </c>
      <c r="D113" s="303" t="s">
        <v>560</v>
      </c>
      <c r="E113" s="264">
        <v>0.35</v>
      </c>
      <c r="F113" s="262">
        <v>6</v>
      </c>
      <c r="G113" s="199">
        <v>1</v>
      </c>
      <c r="H113" s="199">
        <v>1</v>
      </c>
      <c r="I113" s="205">
        <f>+G113/F113</f>
        <v>0.16666666666666666</v>
      </c>
      <c r="J113" s="205">
        <f t="shared" si="123"/>
        <v>0.16666666666666666</v>
      </c>
      <c r="K113" s="205">
        <f>+(G113/F113)*E113</f>
        <v>5.8333333333333327E-2</v>
      </c>
      <c r="L113" s="205">
        <f t="shared" si="124"/>
        <v>5.8333333333333327E-2</v>
      </c>
      <c r="M113" s="272">
        <v>1</v>
      </c>
      <c r="N113" s="608">
        <v>1</v>
      </c>
      <c r="O113" s="608">
        <v>0</v>
      </c>
      <c r="P113" s="608">
        <v>3</v>
      </c>
      <c r="Q113" s="608">
        <v>0</v>
      </c>
      <c r="R113" s="608">
        <v>0</v>
      </c>
      <c r="S113" s="272">
        <f t="shared" si="96"/>
        <v>4</v>
      </c>
      <c r="T113" s="272">
        <f t="shared" si="125"/>
        <v>5</v>
      </c>
      <c r="U113" s="205">
        <v>1</v>
      </c>
      <c r="V113" s="223">
        <v>1</v>
      </c>
      <c r="W113" s="223">
        <f>+U113*E113</f>
        <v>0.35</v>
      </c>
      <c r="X113" s="223">
        <f t="shared" si="126"/>
        <v>0.35</v>
      </c>
      <c r="Y113" s="223">
        <f>+M113/F113</f>
        <v>0.16666666666666666</v>
      </c>
      <c r="Z113" s="223">
        <f t="shared" si="127"/>
        <v>0.83333333333333337</v>
      </c>
      <c r="AA113" s="205">
        <f>+Y113*E113</f>
        <v>5.8333333333333327E-2</v>
      </c>
      <c r="AB113" s="205">
        <f>+Z113*E113</f>
        <v>0.29166666666666669</v>
      </c>
      <c r="AC113" s="209" t="s">
        <v>1850</v>
      </c>
      <c r="AD113" s="642" t="s">
        <v>1893</v>
      </c>
      <c r="AE113" s="642" t="s">
        <v>2277</v>
      </c>
      <c r="AF113" s="642" t="s">
        <v>2296</v>
      </c>
      <c r="AG113" s="932" t="s">
        <v>2412</v>
      </c>
      <c r="AH113" s="932" t="s">
        <v>2449</v>
      </c>
      <c r="AI113" s="932" t="s">
        <v>2564</v>
      </c>
    </row>
    <row r="114" spans="1:35" ht="67.2" customHeight="1" thickBot="1" x14ac:dyDescent="0.4">
      <c r="A114" s="301"/>
      <c r="B114" s="1242" t="s">
        <v>1041</v>
      </c>
      <c r="C114" s="1014" t="s">
        <v>1238</v>
      </c>
      <c r="D114" s="303" t="s">
        <v>560</v>
      </c>
      <c r="E114" s="264">
        <v>0.2</v>
      </c>
      <c r="F114" s="262">
        <v>40</v>
      </c>
      <c r="G114" s="199">
        <v>10</v>
      </c>
      <c r="H114" s="199">
        <v>3</v>
      </c>
      <c r="I114" s="205">
        <f>+G114/F114</f>
        <v>0.25</v>
      </c>
      <c r="J114" s="205">
        <f t="shared" si="123"/>
        <v>7.4999999999999997E-2</v>
      </c>
      <c r="K114" s="205">
        <f>+(G114/F114)*E114</f>
        <v>0.05</v>
      </c>
      <c r="L114" s="205">
        <f t="shared" si="124"/>
        <v>1.4999999999999999E-2</v>
      </c>
      <c r="M114" s="272">
        <v>16</v>
      </c>
      <c r="N114" s="608">
        <v>0</v>
      </c>
      <c r="O114" s="608">
        <v>3</v>
      </c>
      <c r="P114" s="608">
        <v>0</v>
      </c>
      <c r="Q114" s="608">
        <v>35</v>
      </c>
      <c r="R114" s="608">
        <v>6</v>
      </c>
      <c r="S114" s="272">
        <f t="shared" si="96"/>
        <v>44</v>
      </c>
      <c r="T114" s="272">
        <f t="shared" si="125"/>
        <v>60</v>
      </c>
      <c r="U114" s="205">
        <v>1</v>
      </c>
      <c r="V114" s="223">
        <v>1</v>
      </c>
      <c r="W114" s="223">
        <f>+U114*E114</f>
        <v>0.2</v>
      </c>
      <c r="X114" s="223">
        <f t="shared" si="126"/>
        <v>0.2</v>
      </c>
      <c r="Y114" s="223">
        <f>+M114/F114</f>
        <v>0.4</v>
      </c>
      <c r="Z114" s="223">
        <v>1</v>
      </c>
      <c r="AA114" s="205">
        <f>+Y114*E114</f>
        <v>8.0000000000000016E-2</v>
      </c>
      <c r="AB114" s="205">
        <f>+Z114*E114</f>
        <v>0.2</v>
      </c>
      <c r="AC114" s="209" t="s">
        <v>1850</v>
      </c>
      <c r="AD114" s="642" t="s">
        <v>1893</v>
      </c>
      <c r="AE114" s="642" t="s">
        <v>2277</v>
      </c>
      <c r="AF114" s="642" t="s">
        <v>1591</v>
      </c>
      <c r="AG114" s="932" t="s">
        <v>2412</v>
      </c>
      <c r="AH114" s="932" t="s">
        <v>2449</v>
      </c>
      <c r="AI114" s="932" t="s">
        <v>2564</v>
      </c>
    </row>
    <row r="115" spans="1:35" ht="67.2" customHeight="1" thickBot="1" x14ac:dyDescent="0.4">
      <c r="A115" s="301"/>
      <c r="B115" s="1014" t="s">
        <v>1042</v>
      </c>
      <c r="C115" s="1014" t="s">
        <v>1239</v>
      </c>
      <c r="D115" s="303" t="s">
        <v>560</v>
      </c>
      <c r="E115" s="264">
        <v>0.05</v>
      </c>
      <c r="F115" s="262">
        <v>1</v>
      </c>
      <c r="G115" s="199">
        <v>0</v>
      </c>
      <c r="H115" s="199">
        <v>0.5</v>
      </c>
      <c r="I115" s="205"/>
      <c r="J115" s="205">
        <f t="shared" si="123"/>
        <v>0.5</v>
      </c>
      <c r="K115" s="205"/>
      <c r="L115" s="205">
        <f t="shared" si="124"/>
        <v>2.5000000000000001E-2</v>
      </c>
      <c r="M115" s="199"/>
      <c r="N115" s="608">
        <v>0</v>
      </c>
      <c r="O115" s="608">
        <v>0.1</v>
      </c>
      <c r="P115" s="608">
        <v>0.15</v>
      </c>
      <c r="Q115" s="608">
        <v>0.15</v>
      </c>
      <c r="R115" s="608">
        <v>0.05</v>
      </c>
      <c r="S115" s="199">
        <f t="shared" si="96"/>
        <v>0.45</v>
      </c>
      <c r="T115" s="199">
        <f t="shared" si="125"/>
        <v>0.45</v>
      </c>
      <c r="U115" s="205"/>
      <c r="V115" s="223">
        <f t="shared" ref="V115" si="128">+S115/H115</f>
        <v>0.9</v>
      </c>
      <c r="W115" s="223"/>
      <c r="X115" s="223">
        <f t="shared" si="126"/>
        <v>4.5000000000000005E-2</v>
      </c>
      <c r="Y115" s="942">
        <v>0</v>
      </c>
      <c r="Z115" s="942">
        <f t="shared" si="127"/>
        <v>0.45</v>
      </c>
      <c r="AA115" s="205">
        <v>0</v>
      </c>
      <c r="AB115" s="205">
        <f>+Z115*E115</f>
        <v>2.2500000000000003E-2</v>
      </c>
      <c r="AC115" s="209" t="s">
        <v>1850</v>
      </c>
      <c r="AD115" s="642" t="s">
        <v>1893</v>
      </c>
      <c r="AE115" s="642" t="s">
        <v>2277</v>
      </c>
      <c r="AF115" s="642" t="s">
        <v>2296</v>
      </c>
      <c r="AG115" s="924" t="s">
        <v>2386</v>
      </c>
      <c r="AH115" s="932" t="s">
        <v>2449</v>
      </c>
      <c r="AI115" s="932" t="s">
        <v>2564</v>
      </c>
    </row>
    <row r="116" spans="1:35" ht="67.2" customHeight="1" thickBot="1" x14ac:dyDescent="0.4">
      <c r="A116" s="301"/>
      <c r="B116" s="1340" t="s">
        <v>1777</v>
      </c>
      <c r="C116" s="1324"/>
      <c r="D116" s="303"/>
      <c r="E116" s="268">
        <v>0.2</v>
      </c>
      <c r="F116" s="252"/>
      <c r="G116" s="192"/>
      <c r="H116" s="192"/>
      <c r="I116" s="198">
        <f>+AVERAGE(I117:I122)</f>
        <v>0.19999999999999998</v>
      </c>
      <c r="J116" s="198">
        <f>+AVERAGE(J117:J122)</f>
        <v>0.28150000000000003</v>
      </c>
      <c r="K116" s="198">
        <f>+K117+K118+K119+K120+K121+K122</f>
        <v>0.17499999999999999</v>
      </c>
      <c r="L116" s="198">
        <f>+L117+L118+L119+L120+L121+L122</f>
        <v>0.28525</v>
      </c>
      <c r="M116" s="197"/>
      <c r="N116" s="197"/>
      <c r="O116" s="197"/>
      <c r="P116" s="197"/>
      <c r="Q116" s="197"/>
      <c r="R116" s="1218"/>
      <c r="S116" s="199"/>
      <c r="T116" s="197"/>
      <c r="U116" s="221">
        <f>+AVERAGE(U117:U122)</f>
        <v>0.90600000000000003</v>
      </c>
      <c r="V116" s="221">
        <f>+AVERAGE(V117:V122)</f>
        <v>1</v>
      </c>
      <c r="W116" s="221">
        <f>+(W117+W118+W119+W120+W121+W122)*E116</f>
        <v>0.18236000000000002</v>
      </c>
      <c r="X116" s="221">
        <f>+(X117+X118+X119+X120+X121+X122)*E116</f>
        <v>0.2</v>
      </c>
      <c r="Y116" s="198">
        <f>+AVERAGE(Y117:Y122)</f>
        <v>0.18400000000000002</v>
      </c>
      <c r="Z116" s="198">
        <f>+AVERAGE(Z117:Z122)</f>
        <v>0.53839166666666671</v>
      </c>
      <c r="AA116" s="198">
        <f>+(AA117+AA118+AA119+AA120+AA121+AA122)*E116</f>
        <v>3.2840000000000001E-2</v>
      </c>
      <c r="AB116" s="198">
        <f>+(AB117+AB118+AB119+AB120+AB121+AB122)</f>
        <v>0.54608749999999995</v>
      </c>
      <c r="AC116" s="192"/>
      <c r="AD116" s="192"/>
      <c r="AE116" s="192"/>
      <c r="AF116" s="192"/>
      <c r="AG116" s="683"/>
      <c r="AH116" s="192"/>
      <c r="AI116" s="186"/>
    </row>
    <row r="117" spans="1:35" ht="67.2" customHeight="1" thickBot="1" x14ac:dyDescent="0.4">
      <c r="A117" s="301"/>
      <c r="B117" s="1242" t="s">
        <v>1043</v>
      </c>
      <c r="C117" s="1014" t="s">
        <v>1240</v>
      </c>
      <c r="D117" s="303" t="s">
        <v>560</v>
      </c>
      <c r="E117" s="264">
        <v>0.05</v>
      </c>
      <c r="F117" s="262">
        <v>1</v>
      </c>
      <c r="G117" s="272">
        <v>0.25</v>
      </c>
      <c r="H117" s="272">
        <v>0.3</v>
      </c>
      <c r="I117" s="205">
        <f t="shared" ref="I117:I122" si="129">+G117/F117</f>
        <v>0.25</v>
      </c>
      <c r="J117" s="205">
        <f t="shared" ref="J117:J122" si="130">+H117/F117</f>
        <v>0.3</v>
      </c>
      <c r="K117" s="205">
        <f t="shared" ref="K117:K122" si="131">+(G117/F117)*E117</f>
        <v>1.2500000000000001E-2</v>
      </c>
      <c r="L117" s="205">
        <f t="shared" ref="L117:L122" si="132">+(H117/F117)*E117</f>
        <v>1.4999999999999999E-2</v>
      </c>
      <c r="M117" s="272">
        <v>0.19900000000000001</v>
      </c>
      <c r="N117" s="608">
        <v>2.4E-2</v>
      </c>
      <c r="O117" s="608">
        <v>0.03</v>
      </c>
      <c r="P117" s="608">
        <v>0.13189999999999999</v>
      </c>
      <c r="Q117" s="608">
        <v>5.8000000000000003E-2</v>
      </c>
      <c r="R117" s="608">
        <v>5.7099999999999998E-2</v>
      </c>
      <c r="S117" s="272">
        <f t="shared" si="96"/>
        <v>0.30099999999999999</v>
      </c>
      <c r="T117" s="272">
        <f t="shared" ref="T117:T122" si="133">+S117+M117</f>
        <v>0.5</v>
      </c>
      <c r="U117" s="205">
        <f t="shared" ref="U117:U122" si="134">+(M117/G117)</f>
        <v>0.79600000000000004</v>
      </c>
      <c r="V117" s="223">
        <v>1</v>
      </c>
      <c r="W117" s="223">
        <f t="shared" ref="W117:W122" si="135">+U117*E117</f>
        <v>3.9800000000000002E-2</v>
      </c>
      <c r="X117" s="223">
        <f t="shared" ref="X117:X122" si="136">+V117*E117</f>
        <v>0.05</v>
      </c>
      <c r="Y117" s="223">
        <f t="shared" ref="Y117:Y122" si="137">+M117/F117</f>
        <v>0.19900000000000001</v>
      </c>
      <c r="Z117" s="223">
        <f t="shared" ref="Z117:Z121" si="138">+T117/F117</f>
        <v>0.5</v>
      </c>
      <c r="AA117" s="205">
        <f t="shared" ref="AA117:AA122" si="139">+Y117*E117</f>
        <v>9.9500000000000005E-3</v>
      </c>
      <c r="AB117" s="205">
        <f t="shared" ref="AB117:AB122" si="140">+Z117*E117</f>
        <v>2.5000000000000001E-2</v>
      </c>
      <c r="AC117" s="209" t="s">
        <v>1850</v>
      </c>
      <c r="AD117" s="642" t="s">
        <v>1893</v>
      </c>
      <c r="AE117" s="642" t="s">
        <v>2277</v>
      </c>
      <c r="AF117" s="642" t="s">
        <v>2296</v>
      </c>
      <c r="AG117" s="932" t="s">
        <v>2412</v>
      </c>
      <c r="AH117" s="932" t="s">
        <v>2449</v>
      </c>
      <c r="AI117" s="932" t="s">
        <v>2564</v>
      </c>
    </row>
    <row r="118" spans="1:35" ht="83.4" customHeight="1" thickBot="1" x14ac:dyDescent="0.4">
      <c r="A118" s="301"/>
      <c r="B118" s="1242" t="s">
        <v>1044</v>
      </c>
      <c r="C118" s="1014" t="s">
        <v>1241</v>
      </c>
      <c r="D118" s="303" t="s">
        <v>560</v>
      </c>
      <c r="E118" s="264">
        <v>0.25</v>
      </c>
      <c r="F118" s="262">
        <v>1</v>
      </c>
      <c r="G118" s="272">
        <v>0.1</v>
      </c>
      <c r="H118" s="272">
        <v>0.32900000000000001</v>
      </c>
      <c r="I118" s="278">
        <f t="shared" si="129"/>
        <v>0.1</v>
      </c>
      <c r="J118" s="278">
        <f t="shared" si="130"/>
        <v>0.32900000000000001</v>
      </c>
      <c r="K118" s="278">
        <f t="shared" si="131"/>
        <v>2.5000000000000001E-2</v>
      </c>
      <c r="L118" s="278">
        <f t="shared" si="132"/>
        <v>8.2250000000000004E-2</v>
      </c>
      <c r="M118" s="277">
        <v>7.0000000000000007E-2</v>
      </c>
      <c r="N118" s="646">
        <v>2.9000000000000001E-2</v>
      </c>
      <c r="O118" s="646">
        <v>2.8000000000000001E-2</v>
      </c>
      <c r="P118" s="646">
        <v>0.1799</v>
      </c>
      <c r="Q118" s="609">
        <v>4.5999999999999999E-2</v>
      </c>
      <c r="R118" s="609">
        <v>4.6100000000000002E-2</v>
      </c>
      <c r="S118" s="277">
        <f t="shared" si="96"/>
        <v>0.32899999999999996</v>
      </c>
      <c r="T118" s="277">
        <f t="shared" si="133"/>
        <v>0.39899999999999997</v>
      </c>
      <c r="U118" s="205">
        <f t="shared" si="134"/>
        <v>0.70000000000000007</v>
      </c>
      <c r="V118" s="223">
        <v>1</v>
      </c>
      <c r="W118" s="223">
        <f t="shared" si="135"/>
        <v>0.17500000000000002</v>
      </c>
      <c r="X118" s="223">
        <f t="shared" si="136"/>
        <v>0.25</v>
      </c>
      <c r="Y118" s="223">
        <f t="shared" si="137"/>
        <v>7.0000000000000007E-2</v>
      </c>
      <c r="Z118" s="223">
        <f t="shared" si="138"/>
        <v>0.39899999999999997</v>
      </c>
      <c r="AA118" s="205">
        <f t="shared" si="139"/>
        <v>1.7500000000000002E-2</v>
      </c>
      <c r="AB118" s="205">
        <f t="shared" si="140"/>
        <v>9.9749999999999991E-2</v>
      </c>
      <c r="AC118" s="209" t="s">
        <v>1850</v>
      </c>
      <c r="AD118" s="642" t="s">
        <v>1893</v>
      </c>
      <c r="AE118" s="642" t="s">
        <v>2277</v>
      </c>
      <c r="AF118" s="642" t="s">
        <v>2296</v>
      </c>
      <c r="AG118" s="932" t="s">
        <v>2412</v>
      </c>
      <c r="AH118" s="932" t="s">
        <v>2449</v>
      </c>
      <c r="AI118" s="932" t="s">
        <v>2564</v>
      </c>
    </row>
    <row r="119" spans="1:35" ht="67.2" customHeight="1" thickBot="1" x14ac:dyDescent="0.4">
      <c r="A119" s="301"/>
      <c r="B119" s="1014" t="s">
        <v>1045</v>
      </c>
      <c r="C119" s="1014" t="s">
        <v>1242</v>
      </c>
      <c r="D119" s="303" t="s">
        <v>560</v>
      </c>
      <c r="E119" s="264">
        <v>0.05</v>
      </c>
      <c r="F119" s="262">
        <v>1</v>
      </c>
      <c r="G119" s="199">
        <v>0.25</v>
      </c>
      <c r="H119" s="199">
        <v>0.26</v>
      </c>
      <c r="I119" s="205">
        <f>+G119/F119</f>
        <v>0.25</v>
      </c>
      <c r="J119" s="205">
        <f t="shared" si="130"/>
        <v>0.26</v>
      </c>
      <c r="K119" s="205">
        <f t="shared" si="131"/>
        <v>1.2500000000000001E-2</v>
      </c>
      <c r="L119" s="205">
        <f t="shared" si="132"/>
        <v>1.3000000000000001E-2</v>
      </c>
      <c r="M119" s="199">
        <f>0.94*G119</f>
        <v>0.23499999999999999</v>
      </c>
      <c r="N119" s="608">
        <v>8.2500000000000004E-2</v>
      </c>
      <c r="O119" s="608">
        <v>7.4999999999999997E-3</v>
      </c>
      <c r="P119" s="608">
        <v>9.7500000000000003E-2</v>
      </c>
      <c r="Q119" s="608">
        <v>3.6999999999999998E-2</v>
      </c>
      <c r="R119" s="608">
        <v>3.5500000000000004E-2</v>
      </c>
      <c r="S119" s="199">
        <f t="shared" si="96"/>
        <v>0.26</v>
      </c>
      <c r="T119" s="199">
        <f t="shared" si="133"/>
        <v>0.495</v>
      </c>
      <c r="U119" s="205">
        <f t="shared" si="134"/>
        <v>0.94</v>
      </c>
      <c r="V119" s="223">
        <f t="shared" ref="V119" si="141">+S119/H119</f>
        <v>1</v>
      </c>
      <c r="W119" s="223">
        <f t="shared" si="135"/>
        <v>4.7E-2</v>
      </c>
      <c r="X119" s="223">
        <f t="shared" si="136"/>
        <v>0.05</v>
      </c>
      <c r="Y119" s="223">
        <f t="shared" si="137"/>
        <v>0.23499999999999999</v>
      </c>
      <c r="Z119" s="223">
        <f t="shared" si="138"/>
        <v>0.495</v>
      </c>
      <c r="AA119" s="205">
        <f t="shared" si="139"/>
        <v>1.175E-2</v>
      </c>
      <c r="AB119" s="205">
        <f t="shared" si="140"/>
        <v>2.4750000000000001E-2</v>
      </c>
      <c r="AC119" s="209" t="s">
        <v>1850</v>
      </c>
      <c r="AD119" s="642" t="s">
        <v>1893</v>
      </c>
      <c r="AE119" s="642" t="s">
        <v>2277</v>
      </c>
      <c r="AF119" s="642" t="s">
        <v>2296</v>
      </c>
      <c r="AG119" s="932" t="s">
        <v>2412</v>
      </c>
      <c r="AH119" s="932" t="s">
        <v>2449</v>
      </c>
      <c r="AI119" s="932" t="s">
        <v>2564</v>
      </c>
    </row>
    <row r="120" spans="1:35" ht="67.2" customHeight="1" thickBot="1" x14ac:dyDescent="0.4">
      <c r="A120" s="301"/>
      <c r="B120" s="1014" t="s">
        <v>1046</v>
      </c>
      <c r="C120" s="1014" t="s">
        <v>1243</v>
      </c>
      <c r="D120" s="303" t="s">
        <v>560</v>
      </c>
      <c r="E120" s="264">
        <v>0.25</v>
      </c>
      <c r="F120" s="262">
        <v>1</v>
      </c>
      <c r="G120" s="199">
        <v>0.1</v>
      </c>
      <c r="H120" s="199">
        <v>0.3</v>
      </c>
      <c r="I120" s="205">
        <f t="shared" si="129"/>
        <v>0.1</v>
      </c>
      <c r="J120" s="205">
        <f t="shared" si="130"/>
        <v>0.3</v>
      </c>
      <c r="K120" s="205">
        <f t="shared" si="131"/>
        <v>2.5000000000000001E-2</v>
      </c>
      <c r="L120" s="205">
        <f t="shared" si="132"/>
        <v>7.4999999999999997E-2</v>
      </c>
      <c r="M120" s="199">
        <v>0.1</v>
      </c>
      <c r="N120" s="608">
        <v>6.5000000000000002E-2</v>
      </c>
      <c r="O120" s="608">
        <v>0</v>
      </c>
      <c r="P120" s="608">
        <v>0.14269999999999999</v>
      </c>
      <c r="Q120" s="608">
        <v>4.6149999999999997E-2</v>
      </c>
      <c r="R120" s="608">
        <v>4.4999999999999998E-2</v>
      </c>
      <c r="S120" s="199">
        <f t="shared" si="96"/>
        <v>0.29885</v>
      </c>
      <c r="T120" s="199">
        <f t="shared" si="133"/>
        <v>0.39885000000000004</v>
      </c>
      <c r="U120" s="205">
        <f t="shared" si="134"/>
        <v>1</v>
      </c>
      <c r="V120" s="223">
        <v>1</v>
      </c>
      <c r="W120" s="223">
        <f t="shared" si="135"/>
        <v>0.25</v>
      </c>
      <c r="X120" s="223">
        <f t="shared" si="136"/>
        <v>0.25</v>
      </c>
      <c r="Y120" s="223">
        <f t="shared" si="137"/>
        <v>0.1</v>
      </c>
      <c r="Z120" s="223">
        <f t="shared" si="138"/>
        <v>0.39885000000000004</v>
      </c>
      <c r="AA120" s="205">
        <f t="shared" si="139"/>
        <v>2.5000000000000001E-2</v>
      </c>
      <c r="AB120" s="205">
        <f t="shared" si="140"/>
        <v>9.9712500000000009E-2</v>
      </c>
      <c r="AC120" s="209" t="s">
        <v>1850</v>
      </c>
      <c r="AD120" s="642" t="s">
        <v>1893</v>
      </c>
      <c r="AE120" s="642" t="s">
        <v>2277</v>
      </c>
      <c r="AF120" s="642" t="s">
        <v>2296</v>
      </c>
      <c r="AG120" s="932" t="s">
        <v>2412</v>
      </c>
      <c r="AH120" s="753" t="s">
        <v>1865</v>
      </c>
      <c r="AI120" s="932" t="s">
        <v>2564</v>
      </c>
    </row>
    <row r="121" spans="1:35" ht="101.4" customHeight="1" thickBot="1" x14ac:dyDescent="0.4">
      <c r="A121" s="301"/>
      <c r="B121" s="1014" t="s">
        <v>1047</v>
      </c>
      <c r="C121" s="1014" t="s">
        <v>1244</v>
      </c>
      <c r="D121" s="303" t="s">
        <v>560</v>
      </c>
      <c r="E121" s="264">
        <v>0.05</v>
      </c>
      <c r="F121" s="262">
        <v>4</v>
      </c>
      <c r="G121" s="199">
        <v>1</v>
      </c>
      <c r="H121" s="638">
        <v>1</v>
      </c>
      <c r="I121" s="205">
        <f t="shared" si="129"/>
        <v>0.25</v>
      </c>
      <c r="J121" s="205">
        <f t="shared" si="130"/>
        <v>0.25</v>
      </c>
      <c r="K121" s="205">
        <f t="shared" si="131"/>
        <v>1.2500000000000001E-2</v>
      </c>
      <c r="L121" s="205">
        <f t="shared" si="132"/>
        <v>1.2500000000000001E-2</v>
      </c>
      <c r="M121" s="199">
        <v>1</v>
      </c>
      <c r="N121" s="608">
        <v>0.25</v>
      </c>
      <c r="O121" s="608">
        <v>0.25</v>
      </c>
      <c r="P121" s="608">
        <v>0.25</v>
      </c>
      <c r="Q121" s="608">
        <v>1</v>
      </c>
      <c r="R121" s="608">
        <v>0</v>
      </c>
      <c r="S121" s="199">
        <f t="shared" si="96"/>
        <v>1.75</v>
      </c>
      <c r="T121" s="199">
        <f t="shared" si="133"/>
        <v>2.75</v>
      </c>
      <c r="U121" s="205">
        <f t="shared" si="134"/>
        <v>1</v>
      </c>
      <c r="V121" s="223">
        <v>1</v>
      </c>
      <c r="W121" s="223">
        <f t="shared" si="135"/>
        <v>0.05</v>
      </c>
      <c r="X121" s="223">
        <f t="shared" si="136"/>
        <v>0.05</v>
      </c>
      <c r="Y121" s="223">
        <f t="shared" si="137"/>
        <v>0.25</v>
      </c>
      <c r="Z121" s="223">
        <f t="shared" si="138"/>
        <v>0.6875</v>
      </c>
      <c r="AA121" s="205">
        <f t="shared" si="139"/>
        <v>1.2500000000000001E-2</v>
      </c>
      <c r="AB121" s="205">
        <f t="shared" si="140"/>
        <v>3.4375000000000003E-2</v>
      </c>
      <c r="AC121" s="209" t="s">
        <v>1850</v>
      </c>
      <c r="AD121" s="642" t="s">
        <v>1893</v>
      </c>
      <c r="AE121" s="642" t="s">
        <v>2277</v>
      </c>
      <c r="AF121" s="642" t="s">
        <v>2296</v>
      </c>
      <c r="AG121" s="1118" t="s">
        <v>2412</v>
      </c>
      <c r="AH121" s="753" t="s">
        <v>1865</v>
      </c>
      <c r="AI121" s="932" t="s">
        <v>2564</v>
      </c>
    </row>
    <row r="122" spans="1:35" ht="102" customHeight="1" thickBot="1" x14ac:dyDescent="0.4">
      <c r="A122" s="301"/>
      <c r="B122" s="1014" t="s">
        <v>1048</v>
      </c>
      <c r="C122" s="1014" t="s">
        <v>1245</v>
      </c>
      <c r="D122" s="303" t="s">
        <v>560</v>
      </c>
      <c r="E122" s="264">
        <v>0.35</v>
      </c>
      <c r="F122" s="262">
        <v>44</v>
      </c>
      <c r="G122" s="199">
        <v>11</v>
      </c>
      <c r="H122" s="199">
        <v>11</v>
      </c>
      <c r="I122" s="205">
        <f t="shared" si="129"/>
        <v>0.25</v>
      </c>
      <c r="J122" s="205">
        <f t="shared" si="130"/>
        <v>0.25</v>
      </c>
      <c r="K122" s="205">
        <f t="shared" si="131"/>
        <v>8.7499999999999994E-2</v>
      </c>
      <c r="L122" s="205">
        <f t="shared" si="132"/>
        <v>8.7499999999999994E-2</v>
      </c>
      <c r="M122" s="199">
        <v>11</v>
      </c>
      <c r="N122" s="608">
        <v>5</v>
      </c>
      <c r="O122" s="608">
        <v>2</v>
      </c>
      <c r="P122" s="608">
        <v>4</v>
      </c>
      <c r="Q122" s="608">
        <v>11</v>
      </c>
      <c r="R122" s="608">
        <v>0</v>
      </c>
      <c r="S122" s="199">
        <f t="shared" si="96"/>
        <v>22</v>
      </c>
      <c r="T122" s="199">
        <f t="shared" si="133"/>
        <v>33</v>
      </c>
      <c r="U122" s="205">
        <f t="shared" si="134"/>
        <v>1</v>
      </c>
      <c r="V122" s="223">
        <v>1</v>
      </c>
      <c r="W122" s="223">
        <f t="shared" si="135"/>
        <v>0.35</v>
      </c>
      <c r="X122" s="223">
        <f t="shared" si="136"/>
        <v>0.35</v>
      </c>
      <c r="Y122" s="223">
        <f t="shared" si="137"/>
        <v>0.25</v>
      </c>
      <c r="Z122" s="223">
        <f>+T122/F122</f>
        <v>0.75</v>
      </c>
      <c r="AA122" s="205">
        <f t="shared" si="139"/>
        <v>8.7499999999999994E-2</v>
      </c>
      <c r="AB122" s="205">
        <f t="shared" si="140"/>
        <v>0.26249999999999996</v>
      </c>
      <c r="AC122" s="209" t="s">
        <v>1850</v>
      </c>
      <c r="AD122" s="642" t="s">
        <v>1893</v>
      </c>
      <c r="AE122" s="642" t="s">
        <v>2277</v>
      </c>
      <c r="AF122" s="642" t="s">
        <v>2296</v>
      </c>
      <c r="AG122" s="932" t="s">
        <v>2412</v>
      </c>
      <c r="AH122" s="932" t="s">
        <v>2449</v>
      </c>
      <c r="AI122" s="932" t="s">
        <v>2564</v>
      </c>
    </row>
    <row r="123" spans="1:35" ht="67.2" customHeight="1" thickBot="1" x14ac:dyDescent="0.4">
      <c r="A123" s="301"/>
      <c r="B123" s="1340" t="s">
        <v>1778</v>
      </c>
      <c r="C123" s="1324"/>
      <c r="D123" s="303"/>
      <c r="E123" s="268">
        <v>0.2</v>
      </c>
      <c r="F123" s="252"/>
      <c r="G123" s="192"/>
      <c r="H123" s="192"/>
      <c r="I123" s="198">
        <f>+AVERAGE(I124:I130)</f>
        <v>0.25</v>
      </c>
      <c r="J123" s="198">
        <f>+AVERAGE(J124:J130)</f>
        <v>0.27040816326530609</v>
      </c>
      <c r="K123" s="198">
        <f>K124+K125+K126+K127+K128+K129+K130</f>
        <v>0.2</v>
      </c>
      <c r="L123" s="198">
        <f>L124+L125+L126+L127+L128+L129+L130</f>
        <v>0.26428571428571429</v>
      </c>
      <c r="M123" s="197"/>
      <c r="N123" s="197"/>
      <c r="O123" s="197"/>
      <c r="P123" s="197"/>
      <c r="Q123" s="197"/>
      <c r="R123" s="1218"/>
      <c r="S123" s="199"/>
      <c r="T123" s="197"/>
      <c r="U123" s="221">
        <f>+AVERAGE(U124:U130)</f>
        <v>1</v>
      </c>
      <c r="V123" s="221">
        <f>+AVERAGE(V124:V130)</f>
        <v>0.77142857142857146</v>
      </c>
      <c r="W123" s="221">
        <f>+(W124+W125+W126+W127+W128+W129+W130)*E123</f>
        <v>0.16000000000000003</v>
      </c>
      <c r="X123" s="221">
        <f>+(X124+X125+X126+X127+X128+X129+X130)*E123</f>
        <v>0.16800000000000004</v>
      </c>
      <c r="Y123" s="198">
        <f>+AVERAGE(Y124:Y130)</f>
        <v>0.25941666666666668</v>
      </c>
      <c r="Z123" s="315">
        <f>+AVERAGE(Z124:Z130)</f>
        <v>0.46607142857142858</v>
      </c>
      <c r="AA123" s="198">
        <f>+(AA124+AA125+AA126+AA127+AA128+AA129+AA130)*E123</f>
        <v>4.8570000000000002E-2</v>
      </c>
      <c r="AB123" s="198">
        <f>+(AB124+AB125+AB126+AB127+AB128+AB129+AB130)</f>
        <v>0.50124999999999997</v>
      </c>
      <c r="AC123" s="192"/>
      <c r="AD123" s="192"/>
      <c r="AE123" s="192"/>
      <c r="AF123" s="192"/>
      <c r="AG123" s="683"/>
      <c r="AH123" s="192"/>
      <c r="AI123" s="186"/>
    </row>
    <row r="124" spans="1:35" ht="67.2" customHeight="1" thickBot="1" x14ac:dyDescent="0.4">
      <c r="A124" s="301"/>
      <c r="B124" s="1242" t="s">
        <v>1049</v>
      </c>
      <c r="C124" s="1014" t="s">
        <v>1246</v>
      </c>
      <c r="D124" s="303" t="s">
        <v>560</v>
      </c>
      <c r="E124" s="264">
        <v>0.1</v>
      </c>
      <c r="F124" s="262">
        <v>16</v>
      </c>
      <c r="G124" s="199">
        <v>4</v>
      </c>
      <c r="H124" s="199">
        <v>4</v>
      </c>
      <c r="I124" s="205">
        <f t="shared" ref="I124:I129" si="142">+G124/F124</f>
        <v>0.25</v>
      </c>
      <c r="J124" s="205">
        <f t="shared" ref="J124:J130" si="143">+H124/F124</f>
        <v>0.25</v>
      </c>
      <c r="K124" s="205">
        <f t="shared" ref="K124:K129" si="144">+(G124/F124)*E124</f>
        <v>2.5000000000000001E-2</v>
      </c>
      <c r="L124" s="205">
        <f t="shared" ref="L124:L130" si="145">+(H124/F124)*E124</f>
        <v>2.5000000000000001E-2</v>
      </c>
      <c r="M124" s="272">
        <v>5</v>
      </c>
      <c r="N124" s="608">
        <v>1</v>
      </c>
      <c r="O124" s="608">
        <v>1</v>
      </c>
      <c r="P124" s="608">
        <v>1</v>
      </c>
      <c r="Q124" s="608"/>
      <c r="R124" s="608">
        <v>1</v>
      </c>
      <c r="S124" s="272">
        <f t="shared" si="96"/>
        <v>4</v>
      </c>
      <c r="T124" s="272">
        <f t="shared" ref="T124:T130" si="146">+S124+M124</f>
        <v>9</v>
      </c>
      <c r="U124" s="223">
        <v>1</v>
      </c>
      <c r="V124" s="223">
        <f t="shared" ref="V124:V141" si="147">+S124/H124</f>
        <v>1</v>
      </c>
      <c r="W124" s="223">
        <f>+U124*E124</f>
        <v>0.1</v>
      </c>
      <c r="X124" s="223">
        <f t="shared" ref="X124:X130" si="148">+V124*E124</f>
        <v>0.1</v>
      </c>
      <c r="Y124" s="223">
        <f>+M124/F124</f>
        <v>0.3125</v>
      </c>
      <c r="Z124" s="223">
        <f t="shared" ref="Z124:Z130" si="149">+T124/F124</f>
        <v>0.5625</v>
      </c>
      <c r="AA124" s="205">
        <f>+Y124*E124</f>
        <v>3.125E-2</v>
      </c>
      <c r="AB124" s="205">
        <f>+Z124*E124</f>
        <v>5.6250000000000001E-2</v>
      </c>
      <c r="AC124" s="209" t="s">
        <v>1850</v>
      </c>
      <c r="AD124" s="642" t="s">
        <v>1893</v>
      </c>
      <c r="AE124" s="642" t="s">
        <v>2277</v>
      </c>
      <c r="AF124" s="642" t="s">
        <v>2296</v>
      </c>
      <c r="AG124" s="932" t="s">
        <v>2412</v>
      </c>
      <c r="AH124" s="932" t="s">
        <v>2449</v>
      </c>
      <c r="AI124" s="932" t="s">
        <v>2564</v>
      </c>
    </row>
    <row r="125" spans="1:35" ht="67.2" customHeight="1" thickBot="1" x14ac:dyDescent="0.4">
      <c r="A125" s="301"/>
      <c r="B125" s="1242" t="s">
        <v>1050</v>
      </c>
      <c r="C125" s="1014" t="s">
        <v>1247</v>
      </c>
      <c r="D125" s="303" t="s">
        <v>560</v>
      </c>
      <c r="E125" s="264">
        <v>0.15</v>
      </c>
      <c r="F125" s="262">
        <v>92</v>
      </c>
      <c r="G125" s="199">
        <v>23</v>
      </c>
      <c r="H125" s="199">
        <v>23</v>
      </c>
      <c r="I125" s="205">
        <f t="shared" si="142"/>
        <v>0.25</v>
      </c>
      <c r="J125" s="205">
        <f t="shared" si="143"/>
        <v>0.25</v>
      </c>
      <c r="K125" s="205">
        <f t="shared" si="144"/>
        <v>3.7499999999999999E-2</v>
      </c>
      <c r="L125" s="205">
        <f t="shared" si="145"/>
        <v>3.7499999999999999E-2</v>
      </c>
      <c r="M125" s="272">
        <v>23</v>
      </c>
      <c r="N125" s="638">
        <v>23</v>
      </c>
      <c r="O125" s="608">
        <v>0</v>
      </c>
      <c r="P125" s="608">
        <v>0</v>
      </c>
      <c r="Q125" s="608"/>
      <c r="R125" s="608"/>
      <c r="S125" s="272">
        <f t="shared" si="96"/>
        <v>23</v>
      </c>
      <c r="T125" s="272">
        <f t="shared" si="146"/>
        <v>46</v>
      </c>
      <c r="U125" s="223">
        <f>+(M125/G125)</f>
        <v>1</v>
      </c>
      <c r="V125" s="223">
        <v>1</v>
      </c>
      <c r="W125" s="223">
        <f>+U125*E125</f>
        <v>0.15</v>
      </c>
      <c r="X125" s="223">
        <f t="shared" si="148"/>
        <v>0.15</v>
      </c>
      <c r="Y125" s="223">
        <f>+M125/F125</f>
        <v>0.25</v>
      </c>
      <c r="Z125" s="223">
        <f>+T125/F125</f>
        <v>0.5</v>
      </c>
      <c r="AA125" s="205">
        <f>+Y125*E125</f>
        <v>3.7499999999999999E-2</v>
      </c>
      <c r="AB125" s="205">
        <f>+Z125*E125</f>
        <v>7.4999999999999997E-2</v>
      </c>
      <c r="AC125" s="209" t="s">
        <v>1850</v>
      </c>
      <c r="AD125" s="642" t="s">
        <v>1893</v>
      </c>
      <c r="AE125" s="642" t="s">
        <v>2277</v>
      </c>
      <c r="AF125" s="642" t="s">
        <v>2296</v>
      </c>
      <c r="AG125" s="1119" t="s">
        <v>2412</v>
      </c>
      <c r="AH125" s="753" t="s">
        <v>1865</v>
      </c>
      <c r="AI125" s="932" t="s">
        <v>2564</v>
      </c>
    </row>
    <row r="126" spans="1:35" ht="67.2" customHeight="1" thickBot="1" x14ac:dyDescent="0.4">
      <c r="A126" s="301"/>
      <c r="B126" s="905" t="s">
        <v>1051</v>
      </c>
      <c r="C126" s="905" t="s">
        <v>1248</v>
      </c>
      <c r="D126" s="303" t="s">
        <v>560</v>
      </c>
      <c r="E126" s="264">
        <v>0.15</v>
      </c>
      <c r="F126" s="262">
        <v>1500</v>
      </c>
      <c r="G126" s="199">
        <v>375</v>
      </c>
      <c r="H126" s="199">
        <v>375</v>
      </c>
      <c r="I126" s="205">
        <f t="shared" si="142"/>
        <v>0.25</v>
      </c>
      <c r="J126" s="205">
        <f t="shared" si="143"/>
        <v>0.25</v>
      </c>
      <c r="K126" s="205">
        <f t="shared" si="144"/>
        <v>3.7499999999999999E-2</v>
      </c>
      <c r="L126" s="205">
        <f t="shared" si="145"/>
        <v>3.7499999999999999E-2</v>
      </c>
      <c r="M126" s="272">
        <v>741</v>
      </c>
      <c r="N126" s="608">
        <v>80</v>
      </c>
      <c r="O126" s="608">
        <v>197</v>
      </c>
      <c r="P126" s="608">
        <v>259</v>
      </c>
      <c r="Q126" s="608">
        <v>281</v>
      </c>
      <c r="R126" s="608">
        <v>340</v>
      </c>
      <c r="S126" s="272">
        <f t="shared" si="96"/>
        <v>1157</v>
      </c>
      <c r="T126" s="272">
        <f t="shared" si="146"/>
        <v>1898</v>
      </c>
      <c r="U126" s="223">
        <v>1</v>
      </c>
      <c r="V126" s="223">
        <v>1</v>
      </c>
      <c r="W126" s="223">
        <f>+U126*E126</f>
        <v>0.15</v>
      </c>
      <c r="X126" s="223">
        <f t="shared" si="148"/>
        <v>0.15</v>
      </c>
      <c r="Y126" s="223">
        <f>+M126/F126</f>
        <v>0.49399999999999999</v>
      </c>
      <c r="Z126" s="223">
        <v>1</v>
      </c>
      <c r="AA126" s="205">
        <f>+Y126*E126</f>
        <v>7.4099999999999999E-2</v>
      </c>
      <c r="AB126" s="205">
        <f>+Z126*E126</f>
        <v>0.15</v>
      </c>
      <c r="AC126" s="209" t="s">
        <v>1850</v>
      </c>
      <c r="AD126" s="642" t="s">
        <v>1893</v>
      </c>
      <c r="AE126" s="642" t="s">
        <v>2277</v>
      </c>
      <c r="AF126" s="642" t="s">
        <v>2296</v>
      </c>
      <c r="AG126" s="932" t="s">
        <v>2412</v>
      </c>
      <c r="AH126" s="753" t="s">
        <v>1865</v>
      </c>
      <c r="AI126" s="753" t="s">
        <v>1865</v>
      </c>
    </row>
    <row r="127" spans="1:35" ht="67.2" customHeight="1" thickBot="1" x14ac:dyDescent="0.4">
      <c r="A127" s="301"/>
      <c r="B127" s="1243" t="s">
        <v>1052</v>
      </c>
      <c r="C127" s="1243" t="s">
        <v>1249</v>
      </c>
      <c r="D127" s="303" t="s">
        <v>560</v>
      </c>
      <c r="E127" s="264">
        <v>0.1</v>
      </c>
      <c r="F127" s="262">
        <v>12</v>
      </c>
      <c r="G127" s="199">
        <v>3</v>
      </c>
      <c r="H127" s="199">
        <v>3</v>
      </c>
      <c r="I127" s="205">
        <f t="shared" si="142"/>
        <v>0.25</v>
      </c>
      <c r="J127" s="205">
        <f t="shared" si="143"/>
        <v>0.25</v>
      </c>
      <c r="K127" s="205">
        <f t="shared" si="144"/>
        <v>2.5000000000000001E-2</v>
      </c>
      <c r="L127" s="205">
        <f t="shared" si="145"/>
        <v>2.5000000000000001E-2</v>
      </c>
      <c r="M127" s="272">
        <v>3</v>
      </c>
      <c r="N127" s="608">
        <v>1</v>
      </c>
      <c r="O127" s="608">
        <v>1</v>
      </c>
      <c r="P127" s="608">
        <v>1</v>
      </c>
      <c r="Q127" s="608"/>
      <c r="R127" s="608"/>
      <c r="S127" s="272">
        <f t="shared" si="96"/>
        <v>3</v>
      </c>
      <c r="T127" s="272">
        <f t="shared" si="146"/>
        <v>6</v>
      </c>
      <c r="U127" s="223">
        <f>+(M127/G127)</f>
        <v>1</v>
      </c>
      <c r="V127" s="223">
        <f t="shared" si="147"/>
        <v>1</v>
      </c>
      <c r="W127" s="223">
        <f>+U127*E127</f>
        <v>0.1</v>
      </c>
      <c r="X127" s="223">
        <f t="shared" si="148"/>
        <v>0.1</v>
      </c>
      <c r="Y127" s="223">
        <f>+M127/F127</f>
        <v>0.25</v>
      </c>
      <c r="Z127" s="223">
        <f t="shared" si="149"/>
        <v>0.5</v>
      </c>
      <c r="AA127" s="205">
        <f>+Y127*E127</f>
        <v>2.5000000000000001E-2</v>
      </c>
      <c r="AB127" s="205">
        <f>+Z127*E127</f>
        <v>0.05</v>
      </c>
      <c r="AC127" s="209" t="s">
        <v>1850</v>
      </c>
      <c r="AD127" s="642" t="s">
        <v>1893</v>
      </c>
      <c r="AE127" s="642" t="s">
        <v>2277</v>
      </c>
      <c r="AF127" s="642" t="s">
        <v>2296</v>
      </c>
      <c r="AG127" s="932" t="s">
        <v>2412</v>
      </c>
      <c r="AH127" s="932" t="s">
        <v>2449</v>
      </c>
      <c r="AI127" s="932" t="s">
        <v>2564</v>
      </c>
    </row>
    <row r="128" spans="1:35" ht="101.4" customHeight="1" thickBot="1" x14ac:dyDescent="0.4">
      <c r="A128" s="301"/>
      <c r="B128" s="1242" t="s">
        <v>1053</v>
      </c>
      <c r="C128" s="1014" t="s">
        <v>1250</v>
      </c>
      <c r="D128" s="303" t="s">
        <v>560</v>
      </c>
      <c r="E128" s="264">
        <v>0.1</v>
      </c>
      <c r="F128" s="262">
        <v>1</v>
      </c>
      <c r="G128" s="272">
        <v>0</v>
      </c>
      <c r="H128" s="272">
        <v>0.5</v>
      </c>
      <c r="I128" s="205"/>
      <c r="J128" s="205">
        <f t="shared" si="143"/>
        <v>0.5</v>
      </c>
      <c r="K128" s="205"/>
      <c r="L128" s="205">
        <f t="shared" si="145"/>
        <v>0.05</v>
      </c>
      <c r="M128" s="272"/>
      <c r="N128" s="608">
        <v>0</v>
      </c>
      <c r="O128" s="608">
        <v>0.1</v>
      </c>
      <c r="P128" s="608">
        <v>0.1</v>
      </c>
      <c r="Q128" s="608">
        <v>0</v>
      </c>
      <c r="R128" s="608">
        <v>0</v>
      </c>
      <c r="S128" s="272">
        <f t="shared" si="96"/>
        <v>0.2</v>
      </c>
      <c r="T128" s="272">
        <f t="shared" si="146"/>
        <v>0.2</v>
      </c>
      <c r="U128" s="223"/>
      <c r="V128" s="223">
        <f>+S128/H128</f>
        <v>0.4</v>
      </c>
      <c r="W128" s="223"/>
      <c r="X128" s="223">
        <f t="shared" si="148"/>
        <v>4.0000000000000008E-2</v>
      </c>
      <c r="Y128" s="942">
        <v>0</v>
      </c>
      <c r="Z128" s="942">
        <f t="shared" si="149"/>
        <v>0.2</v>
      </c>
      <c r="AA128" s="205"/>
      <c r="AB128" s="205">
        <f t="shared" ref="AB128:AB130" si="150">+Z128*E128</f>
        <v>2.0000000000000004E-2</v>
      </c>
      <c r="AC128" s="209" t="s">
        <v>1850</v>
      </c>
      <c r="AD128" s="642" t="s">
        <v>1893</v>
      </c>
      <c r="AE128" s="642" t="s">
        <v>2277</v>
      </c>
      <c r="AF128" s="642" t="s">
        <v>2296</v>
      </c>
      <c r="AG128" s="932" t="s">
        <v>2412</v>
      </c>
      <c r="AH128" s="932" t="s">
        <v>2449</v>
      </c>
      <c r="AI128" s="932" t="s">
        <v>2564</v>
      </c>
    </row>
    <row r="129" spans="1:35" ht="67.2" customHeight="1" thickBot="1" x14ac:dyDescent="0.4">
      <c r="A129" s="301"/>
      <c r="B129" s="1242" t="s">
        <v>1054</v>
      </c>
      <c r="C129" s="1014" t="s">
        <v>1251</v>
      </c>
      <c r="D129" s="303" t="s">
        <v>560</v>
      </c>
      <c r="E129" s="264">
        <v>0.3</v>
      </c>
      <c r="F129" s="262">
        <f>21*4</f>
        <v>84</v>
      </c>
      <c r="G129" s="199">
        <v>21</v>
      </c>
      <c r="H129" s="199">
        <v>21</v>
      </c>
      <c r="I129" s="205">
        <f t="shared" si="142"/>
        <v>0.25</v>
      </c>
      <c r="J129" s="205">
        <f t="shared" si="143"/>
        <v>0.25</v>
      </c>
      <c r="K129" s="205">
        <f t="shared" si="144"/>
        <v>7.4999999999999997E-2</v>
      </c>
      <c r="L129" s="205">
        <f t="shared" si="145"/>
        <v>7.4999999999999997E-2</v>
      </c>
      <c r="M129" s="199">
        <v>21</v>
      </c>
      <c r="N129" s="638">
        <v>21</v>
      </c>
      <c r="O129" s="608">
        <v>0</v>
      </c>
      <c r="P129" s="608">
        <v>0</v>
      </c>
      <c r="Q129" s="608"/>
      <c r="R129" s="608"/>
      <c r="S129" s="199">
        <f t="shared" si="96"/>
        <v>21</v>
      </c>
      <c r="T129" s="199">
        <f t="shared" si="146"/>
        <v>42</v>
      </c>
      <c r="U129" s="223">
        <f>+(M129/G129)</f>
        <v>1</v>
      </c>
      <c r="V129" s="223">
        <v>1</v>
      </c>
      <c r="W129" s="223">
        <f>+U129*E129</f>
        <v>0.3</v>
      </c>
      <c r="X129" s="223">
        <f t="shared" si="148"/>
        <v>0.3</v>
      </c>
      <c r="Y129" s="223">
        <f>+M129/F129</f>
        <v>0.25</v>
      </c>
      <c r="Z129" s="223">
        <f>+T129/F129</f>
        <v>0.5</v>
      </c>
      <c r="AA129" s="205">
        <f>+Y129*E129</f>
        <v>7.4999999999999997E-2</v>
      </c>
      <c r="AB129" s="205">
        <f t="shared" si="150"/>
        <v>0.15</v>
      </c>
      <c r="AC129" s="209" t="s">
        <v>1850</v>
      </c>
      <c r="AD129" s="642" t="s">
        <v>1893</v>
      </c>
      <c r="AE129" s="642" t="s">
        <v>2277</v>
      </c>
      <c r="AF129" s="642" t="s">
        <v>2296</v>
      </c>
      <c r="AG129" s="1119" t="s">
        <v>2412</v>
      </c>
      <c r="AH129" s="932" t="s">
        <v>2449</v>
      </c>
      <c r="AI129" s="932" t="s">
        <v>2564</v>
      </c>
    </row>
    <row r="130" spans="1:35" ht="67.2" customHeight="1" thickBot="1" x14ac:dyDescent="0.4">
      <c r="A130" s="301"/>
      <c r="B130" s="1014" t="s">
        <v>1055</v>
      </c>
      <c r="C130" s="1014" t="s">
        <v>1252</v>
      </c>
      <c r="D130" s="303" t="s">
        <v>560</v>
      </c>
      <c r="E130" s="264">
        <v>0.1</v>
      </c>
      <c r="F130" s="262">
        <v>7</v>
      </c>
      <c r="G130" s="199">
        <v>0</v>
      </c>
      <c r="H130" s="199">
        <v>1</v>
      </c>
      <c r="I130" s="205"/>
      <c r="J130" s="205">
        <f t="shared" si="143"/>
        <v>0.14285714285714285</v>
      </c>
      <c r="K130" s="205"/>
      <c r="L130" s="205">
        <f t="shared" si="145"/>
        <v>1.4285714285714285E-2</v>
      </c>
      <c r="M130" s="272"/>
      <c r="N130" s="608">
        <v>0</v>
      </c>
      <c r="O130" s="608">
        <v>0</v>
      </c>
      <c r="P130" s="608">
        <v>0</v>
      </c>
      <c r="Q130" s="608"/>
      <c r="R130" s="272"/>
      <c r="S130" s="272">
        <f t="shared" si="96"/>
        <v>0</v>
      </c>
      <c r="T130" s="272">
        <f t="shared" si="146"/>
        <v>0</v>
      </c>
      <c r="U130" s="223"/>
      <c r="V130" s="223">
        <f t="shared" si="147"/>
        <v>0</v>
      </c>
      <c r="W130" s="223"/>
      <c r="X130" s="223">
        <f t="shared" si="148"/>
        <v>0</v>
      </c>
      <c r="Y130" s="223"/>
      <c r="Z130" s="223">
        <f t="shared" si="149"/>
        <v>0</v>
      </c>
      <c r="AA130" s="205"/>
      <c r="AB130" s="205">
        <f t="shared" si="150"/>
        <v>0</v>
      </c>
      <c r="AC130" s="209" t="s">
        <v>1850</v>
      </c>
      <c r="AD130" s="642" t="s">
        <v>1893</v>
      </c>
      <c r="AE130" s="642" t="s">
        <v>2277</v>
      </c>
      <c r="AF130" s="642" t="s">
        <v>2296</v>
      </c>
      <c r="AG130" s="932" t="s">
        <v>2412</v>
      </c>
      <c r="AH130" s="932" t="s">
        <v>2449</v>
      </c>
      <c r="AI130" s="932" t="s">
        <v>2564</v>
      </c>
    </row>
    <row r="131" spans="1:35" ht="67.2" customHeight="1" thickBot="1" x14ac:dyDescent="0.4">
      <c r="A131" s="301"/>
      <c r="B131" s="1340" t="s">
        <v>1779</v>
      </c>
      <c r="C131" s="1324"/>
      <c r="D131" s="303"/>
      <c r="E131" s="268">
        <v>0.15</v>
      </c>
      <c r="F131" s="252"/>
      <c r="G131" s="192"/>
      <c r="H131" s="192"/>
      <c r="I131" s="198">
        <f>+AVERAGE(I132:I133)</f>
        <v>0.41111111111111109</v>
      </c>
      <c r="J131" s="198">
        <f>+AVERAGE(J132:J133)</f>
        <v>0.41111111111111109</v>
      </c>
      <c r="K131" s="198">
        <f>+K132+K133</f>
        <v>0.37333333333333329</v>
      </c>
      <c r="L131" s="198">
        <f>+L132+L133</f>
        <v>0.37333333333333329</v>
      </c>
      <c r="M131" s="197"/>
      <c r="N131" s="197"/>
      <c r="O131" s="197"/>
      <c r="P131" s="197"/>
      <c r="Q131" s="197"/>
      <c r="R131" s="1218"/>
      <c r="S131" s="199"/>
      <c r="T131" s="197"/>
      <c r="U131" s="221">
        <f>+AVERAGE(U132:U133)</f>
        <v>1</v>
      </c>
      <c r="V131" s="221">
        <f>+AVERAGE(V132:V133)</f>
        <v>1</v>
      </c>
      <c r="W131" s="221">
        <f>+(W132+W133)*E131</f>
        <v>0.15</v>
      </c>
      <c r="X131" s="221">
        <f>+(X132+X133)*E131</f>
        <v>0.15</v>
      </c>
      <c r="Y131" s="198">
        <f>+AVERAGE(Y132:Y133)</f>
        <v>0.31111111111111112</v>
      </c>
      <c r="Z131" s="198">
        <f>+AVERAGE(Z132:Z133)</f>
        <v>0.72222222222222221</v>
      </c>
      <c r="AA131" s="198">
        <f>+(AA132+AA133)*E131</f>
        <v>4.3999999999999997E-2</v>
      </c>
      <c r="AB131" s="198">
        <f>+(AB132+AB133)</f>
        <v>0.66666666666666674</v>
      </c>
      <c r="AC131" s="192"/>
      <c r="AD131" s="192"/>
      <c r="AE131" s="192"/>
      <c r="AF131" s="192"/>
      <c r="AG131" s="683"/>
      <c r="AH131" s="192"/>
      <c r="AI131" s="186"/>
    </row>
    <row r="132" spans="1:35" ht="67.2" customHeight="1" thickBot="1" x14ac:dyDescent="0.4">
      <c r="A132" s="301"/>
      <c r="B132" s="1242" t="s">
        <v>1056</v>
      </c>
      <c r="C132" s="1014" t="s">
        <v>1253</v>
      </c>
      <c r="D132" s="303" t="s">
        <v>560</v>
      </c>
      <c r="E132" s="264">
        <v>0.6</v>
      </c>
      <c r="F132" s="262">
        <v>9</v>
      </c>
      <c r="G132" s="199">
        <v>2</v>
      </c>
      <c r="H132" s="199">
        <v>2</v>
      </c>
      <c r="I132" s="205">
        <f>+G132/F132</f>
        <v>0.22222222222222221</v>
      </c>
      <c r="J132" s="205">
        <f t="shared" ref="J132:J133" si="151">+H132/F132</f>
        <v>0.22222222222222221</v>
      </c>
      <c r="K132" s="205">
        <f>+(G132/F132)*E132</f>
        <v>0.13333333333333333</v>
      </c>
      <c r="L132" s="205">
        <f t="shared" ref="L132:L133" si="152">+(H132/F132)*E132</f>
        <v>0.13333333333333333</v>
      </c>
      <c r="M132" s="199">
        <v>2</v>
      </c>
      <c r="N132" s="608">
        <v>0</v>
      </c>
      <c r="O132" s="608">
        <v>0</v>
      </c>
      <c r="P132" s="608">
        <v>2</v>
      </c>
      <c r="Q132" s="608"/>
      <c r="R132" s="608"/>
      <c r="S132" s="199">
        <f t="shared" si="96"/>
        <v>2</v>
      </c>
      <c r="T132" s="199">
        <f t="shared" ref="T132:T133" si="153">+S132+M132</f>
        <v>4</v>
      </c>
      <c r="U132" s="205">
        <f>+(M132/G132)</f>
        <v>1</v>
      </c>
      <c r="V132" s="205">
        <f t="shared" si="147"/>
        <v>1</v>
      </c>
      <c r="W132" s="205">
        <f>+U132*E132</f>
        <v>0.6</v>
      </c>
      <c r="X132" s="205">
        <f t="shared" ref="X132:X133" si="154">+V132*E132</f>
        <v>0.6</v>
      </c>
      <c r="Y132" s="205">
        <f>+M132/F132</f>
        <v>0.22222222222222221</v>
      </c>
      <c r="Z132" s="205">
        <f t="shared" ref="Z132" si="155">+T132/F132</f>
        <v>0.44444444444444442</v>
      </c>
      <c r="AA132" s="205">
        <f>+Y132*E132</f>
        <v>0.13333333333333333</v>
      </c>
      <c r="AB132" s="205">
        <f>+Z132*E132</f>
        <v>0.26666666666666666</v>
      </c>
      <c r="AC132" s="209" t="s">
        <v>1850</v>
      </c>
      <c r="AD132" s="642" t="s">
        <v>1893</v>
      </c>
      <c r="AE132" s="642" t="s">
        <v>2277</v>
      </c>
      <c r="AF132" s="642" t="s">
        <v>2296</v>
      </c>
      <c r="AG132" s="932" t="s">
        <v>2412</v>
      </c>
      <c r="AH132" s="932" t="s">
        <v>2449</v>
      </c>
      <c r="AI132" s="932" t="s">
        <v>2564</v>
      </c>
    </row>
    <row r="133" spans="1:35" ht="67.2" customHeight="1" thickBot="1" x14ac:dyDescent="0.4">
      <c r="A133" s="301"/>
      <c r="B133" s="1242" t="s">
        <v>1057</v>
      </c>
      <c r="C133" s="1014" t="s">
        <v>1254</v>
      </c>
      <c r="D133" s="303" t="s">
        <v>560</v>
      </c>
      <c r="E133" s="264">
        <v>0.4</v>
      </c>
      <c r="F133" s="262">
        <v>5</v>
      </c>
      <c r="G133" s="199">
        <v>3</v>
      </c>
      <c r="H133" s="199">
        <v>3</v>
      </c>
      <c r="I133" s="205">
        <f>+G133/F133</f>
        <v>0.6</v>
      </c>
      <c r="J133" s="205">
        <f t="shared" si="151"/>
        <v>0.6</v>
      </c>
      <c r="K133" s="205">
        <f>+(G133/F133)*E133</f>
        <v>0.24</v>
      </c>
      <c r="L133" s="205">
        <f t="shared" si="152"/>
        <v>0.24</v>
      </c>
      <c r="M133" s="199">
        <v>2</v>
      </c>
      <c r="N133" s="608">
        <v>0</v>
      </c>
      <c r="O133" s="608">
        <v>3</v>
      </c>
      <c r="P133" s="608">
        <v>3</v>
      </c>
      <c r="Q133" s="608">
        <v>1</v>
      </c>
      <c r="R133" s="608"/>
      <c r="S133" s="199">
        <f t="shared" si="96"/>
        <v>7</v>
      </c>
      <c r="T133" s="199">
        <f t="shared" si="153"/>
        <v>9</v>
      </c>
      <c r="U133" s="205">
        <v>1</v>
      </c>
      <c r="V133" s="205">
        <v>1</v>
      </c>
      <c r="W133" s="205">
        <f>+U133*E133</f>
        <v>0.4</v>
      </c>
      <c r="X133" s="205">
        <f t="shared" si="154"/>
        <v>0.4</v>
      </c>
      <c r="Y133" s="205">
        <f>+M133/F133</f>
        <v>0.4</v>
      </c>
      <c r="Z133" s="205">
        <v>1</v>
      </c>
      <c r="AA133" s="205">
        <f>+Y133*E133</f>
        <v>0.16000000000000003</v>
      </c>
      <c r="AB133" s="205">
        <f>+Z133*E133</f>
        <v>0.4</v>
      </c>
      <c r="AC133" s="209" t="s">
        <v>1850</v>
      </c>
      <c r="AD133" s="642" t="s">
        <v>1893</v>
      </c>
      <c r="AE133" s="642" t="s">
        <v>1591</v>
      </c>
      <c r="AF133" s="642" t="s">
        <v>2296</v>
      </c>
      <c r="AG133" s="932" t="s">
        <v>2412</v>
      </c>
      <c r="AH133" s="932" t="s">
        <v>2449</v>
      </c>
      <c r="AI133" s="932" t="s">
        <v>2564</v>
      </c>
    </row>
    <row r="134" spans="1:35" ht="67.2" customHeight="1" thickBot="1" x14ac:dyDescent="0.4">
      <c r="A134" s="301"/>
      <c r="B134" s="1340" t="s">
        <v>1836</v>
      </c>
      <c r="C134" s="1324"/>
      <c r="D134" s="303"/>
      <c r="E134" s="268">
        <v>0.2</v>
      </c>
      <c r="F134" s="252"/>
      <c r="G134" s="192"/>
      <c r="H134" s="192"/>
      <c r="I134" s="198">
        <f>+AVERAGE(I135:I138)</f>
        <v>0.25</v>
      </c>
      <c r="J134" s="198">
        <f>+AVERAGE(J135:J138)</f>
        <v>0.25</v>
      </c>
      <c r="K134" s="198">
        <f>+K135+K136+K137+K138</f>
        <v>0.2</v>
      </c>
      <c r="L134" s="198">
        <f>+L135+L136+L137+L138</f>
        <v>0.27500000000000002</v>
      </c>
      <c r="M134" s="197"/>
      <c r="N134" s="197"/>
      <c r="O134" s="197"/>
      <c r="P134" s="197"/>
      <c r="Q134" s="197"/>
      <c r="R134" s="1218"/>
      <c r="S134" s="199"/>
      <c r="T134" s="197"/>
      <c r="U134" s="221">
        <f>+AVERAGE(U135:U138)</f>
        <v>0.625</v>
      </c>
      <c r="V134" s="221">
        <f>+AVERAGE(V135:V138)</f>
        <v>0.72222222222222221</v>
      </c>
      <c r="W134" s="221">
        <f>+(W135+W136+W137+W138)*E134</f>
        <v>0.1</v>
      </c>
      <c r="X134" s="221">
        <f>+(X135+X136+X137+X138)*F134</f>
        <v>0</v>
      </c>
      <c r="Y134" s="198">
        <f>+AVERAGE(Y135:Y138)</f>
        <v>0.15625</v>
      </c>
      <c r="Z134" s="198">
        <f>+Y134+((Z137-Y137)/4)+((Z138-Y138)/4)+((Z135-Y135)/4)</f>
        <v>0.35416666666666669</v>
      </c>
      <c r="AA134" s="198">
        <f>+(AA135+AA136+AA137+AA138)*E134</f>
        <v>2.5000000000000001E-2</v>
      </c>
      <c r="AB134" s="198">
        <f>+(AB135+AB136+AB137+AB138)</f>
        <v>0.31666666666666665</v>
      </c>
      <c r="AC134" s="192"/>
      <c r="AD134" s="192"/>
      <c r="AE134" s="192"/>
      <c r="AF134" s="192"/>
      <c r="AG134" s="683"/>
      <c r="AH134" s="192"/>
      <c r="AI134" s="186"/>
    </row>
    <row r="135" spans="1:35" ht="95.4" customHeight="1" thickBot="1" x14ac:dyDescent="0.4">
      <c r="A135" s="301"/>
      <c r="B135" s="1014" t="s">
        <v>1058</v>
      </c>
      <c r="C135" s="1014" t="s">
        <v>1255</v>
      </c>
      <c r="D135" s="303" t="s">
        <v>1059</v>
      </c>
      <c r="E135" s="264">
        <v>0.15</v>
      </c>
      <c r="F135" s="262">
        <v>1</v>
      </c>
      <c r="G135" s="199">
        <v>0</v>
      </c>
      <c r="H135" s="199">
        <v>0.5</v>
      </c>
      <c r="I135" s="205"/>
      <c r="J135" s="205">
        <f t="shared" ref="J135:J138" si="156">+H135/F135</f>
        <v>0.5</v>
      </c>
      <c r="K135" s="205"/>
      <c r="L135" s="205">
        <f t="shared" ref="L135:L138" si="157">+(H135/F135)*E135</f>
        <v>7.4999999999999997E-2</v>
      </c>
      <c r="M135" s="199"/>
      <c r="N135" s="608">
        <v>0</v>
      </c>
      <c r="O135" s="608">
        <v>0</v>
      </c>
      <c r="P135" s="608">
        <v>0.2</v>
      </c>
      <c r="Q135" s="608">
        <v>0.1</v>
      </c>
      <c r="R135" s="608">
        <v>0.2</v>
      </c>
      <c r="S135" s="199">
        <f t="shared" si="96"/>
        <v>0.5</v>
      </c>
      <c r="T135" s="199">
        <f t="shared" ref="T135:T138" si="158">+S135+M135</f>
        <v>0.5</v>
      </c>
      <c r="U135" s="223"/>
      <c r="V135" s="223">
        <f t="shared" si="147"/>
        <v>1</v>
      </c>
      <c r="W135" s="223"/>
      <c r="X135" s="223"/>
      <c r="Y135" s="223"/>
      <c r="Z135" s="223">
        <f t="shared" ref="Z135:Z138" si="159">+T135/F135</f>
        <v>0.5</v>
      </c>
      <c r="AA135" s="223"/>
      <c r="AB135" s="223">
        <f>+Z135*E135</f>
        <v>7.4999999999999997E-2</v>
      </c>
      <c r="AC135" s="209" t="s">
        <v>1850</v>
      </c>
      <c r="AD135" s="192"/>
      <c r="AE135" s="642" t="s">
        <v>2277</v>
      </c>
      <c r="AF135" s="642" t="s">
        <v>2296</v>
      </c>
      <c r="AG135" s="1118" t="s">
        <v>2387</v>
      </c>
      <c r="AH135" s="932" t="s">
        <v>2449</v>
      </c>
      <c r="AI135" s="186"/>
    </row>
    <row r="136" spans="1:35" ht="67.2" customHeight="1" thickBot="1" x14ac:dyDescent="0.4">
      <c r="A136" s="301"/>
      <c r="B136" s="1014" t="s">
        <v>1060</v>
      </c>
      <c r="C136" s="1014" t="s">
        <v>1256</v>
      </c>
      <c r="D136" s="303" t="s">
        <v>560</v>
      </c>
      <c r="E136" s="264">
        <v>0.05</v>
      </c>
      <c r="F136" s="262">
        <v>1</v>
      </c>
      <c r="G136" s="199">
        <v>0</v>
      </c>
      <c r="H136" s="199">
        <v>0</v>
      </c>
      <c r="I136" s="205"/>
      <c r="J136" s="205">
        <f t="shared" si="156"/>
        <v>0</v>
      </c>
      <c r="K136" s="205"/>
      <c r="L136" s="205">
        <f t="shared" si="157"/>
        <v>0</v>
      </c>
      <c r="M136" s="199"/>
      <c r="N136" s="608"/>
      <c r="O136" s="608"/>
      <c r="P136" s="608"/>
      <c r="Q136" s="608"/>
      <c r="R136" s="608"/>
      <c r="S136" s="199">
        <f t="shared" si="96"/>
        <v>0</v>
      </c>
      <c r="T136" s="199">
        <f t="shared" si="158"/>
        <v>0</v>
      </c>
      <c r="U136" s="223"/>
      <c r="V136" s="223"/>
      <c r="W136" s="223"/>
      <c r="X136" s="223"/>
      <c r="Y136" s="223"/>
      <c r="Z136" s="223"/>
      <c r="AA136" s="223"/>
      <c r="AB136" s="223">
        <f>+Z136*E136</f>
        <v>0</v>
      </c>
      <c r="AC136" s="209" t="s">
        <v>1850</v>
      </c>
      <c r="AD136" s="192"/>
      <c r="AE136" s="642" t="s">
        <v>2277</v>
      </c>
      <c r="AF136" s="642" t="s">
        <v>2296</v>
      </c>
      <c r="AG136" s="932" t="s">
        <v>2412</v>
      </c>
      <c r="AH136" s="932" t="s">
        <v>2449</v>
      </c>
      <c r="AI136" s="186"/>
    </row>
    <row r="137" spans="1:35" ht="67.2" customHeight="1" thickBot="1" x14ac:dyDescent="0.4">
      <c r="A137" s="301"/>
      <c r="B137" s="1242" t="s">
        <v>1061</v>
      </c>
      <c r="C137" s="1014" t="s">
        <v>1257</v>
      </c>
      <c r="D137" s="303" t="s">
        <v>560</v>
      </c>
      <c r="E137" s="264">
        <v>0.4</v>
      </c>
      <c r="F137" s="262">
        <v>48</v>
      </c>
      <c r="G137" s="199">
        <v>12</v>
      </c>
      <c r="H137" s="199">
        <v>12</v>
      </c>
      <c r="I137" s="205">
        <f>+G137/F137</f>
        <v>0.25</v>
      </c>
      <c r="J137" s="205">
        <f t="shared" si="156"/>
        <v>0.25</v>
      </c>
      <c r="K137" s="205">
        <f>+(G137/F137)*E137</f>
        <v>0.1</v>
      </c>
      <c r="L137" s="205">
        <f t="shared" si="157"/>
        <v>0.1</v>
      </c>
      <c r="M137" s="199">
        <v>11</v>
      </c>
      <c r="N137" s="608">
        <v>0</v>
      </c>
      <c r="O137" s="608">
        <v>2</v>
      </c>
      <c r="P137" s="608">
        <v>3</v>
      </c>
      <c r="Q137" s="608">
        <v>1</v>
      </c>
      <c r="R137" s="608"/>
      <c r="S137" s="199">
        <f t="shared" si="96"/>
        <v>6</v>
      </c>
      <c r="T137" s="199">
        <f t="shared" si="158"/>
        <v>17</v>
      </c>
      <c r="U137" s="223">
        <f>+(M137/G137)</f>
        <v>0.91666666666666663</v>
      </c>
      <c r="V137" s="223">
        <f t="shared" si="147"/>
        <v>0.5</v>
      </c>
      <c r="W137" s="223">
        <f>+U137*E137</f>
        <v>0.3666666666666667</v>
      </c>
      <c r="X137" s="223">
        <f t="shared" ref="X137:X138" si="160">+V137*E137</f>
        <v>0.2</v>
      </c>
      <c r="Y137" s="223">
        <f>+M137/F137</f>
        <v>0.22916666666666666</v>
      </c>
      <c r="Z137" s="223">
        <f t="shared" si="159"/>
        <v>0.35416666666666669</v>
      </c>
      <c r="AA137" s="223">
        <f>+Y137*E137</f>
        <v>9.1666666666666674E-2</v>
      </c>
      <c r="AB137" s="223">
        <f>+Z137*E137</f>
        <v>0.14166666666666669</v>
      </c>
      <c r="AC137" s="209" t="s">
        <v>1850</v>
      </c>
      <c r="AD137" s="642" t="s">
        <v>1893</v>
      </c>
      <c r="AE137" s="642" t="s">
        <v>2277</v>
      </c>
      <c r="AF137" s="642" t="s">
        <v>2296</v>
      </c>
      <c r="AG137" s="932" t="s">
        <v>2412</v>
      </c>
      <c r="AH137" s="932" t="s">
        <v>2449</v>
      </c>
      <c r="AI137" s="186"/>
    </row>
    <row r="138" spans="1:35" ht="148.94999999999999" customHeight="1" thickBot="1" x14ac:dyDescent="0.4">
      <c r="A138" s="301"/>
      <c r="B138" s="1242" t="s">
        <v>1062</v>
      </c>
      <c r="C138" s="1014" t="s">
        <v>1258</v>
      </c>
      <c r="D138" s="303" t="s">
        <v>560</v>
      </c>
      <c r="E138" s="264">
        <v>0.4</v>
      </c>
      <c r="F138" s="262">
        <v>12</v>
      </c>
      <c r="G138" s="199">
        <v>3</v>
      </c>
      <c r="H138" s="199">
        <v>3</v>
      </c>
      <c r="I138" s="205">
        <f>+G138/F138</f>
        <v>0.25</v>
      </c>
      <c r="J138" s="205">
        <f t="shared" si="156"/>
        <v>0.25</v>
      </c>
      <c r="K138" s="205">
        <f>+(G138/F138)*E138</f>
        <v>0.1</v>
      </c>
      <c r="L138" s="205">
        <f t="shared" si="157"/>
        <v>0.1</v>
      </c>
      <c r="M138" s="199">
        <v>1</v>
      </c>
      <c r="N138" s="608">
        <v>1</v>
      </c>
      <c r="O138" s="608">
        <v>0</v>
      </c>
      <c r="P138" s="608">
        <v>0</v>
      </c>
      <c r="Q138" s="608">
        <v>1</v>
      </c>
      <c r="R138" s="608">
        <v>0</v>
      </c>
      <c r="S138" s="199">
        <f t="shared" si="96"/>
        <v>2</v>
      </c>
      <c r="T138" s="199">
        <f t="shared" si="158"/>
        <v>3</v>
      </c>
      <c r="U138" s="223">
        <f>+(M138/G138)</f>
        <v>0.33333333333333331</v>
      </c>
      <c r="V138" s="223">
        <f t="shared" si="147"/>
        <v>0.66666666666666663</v>
      </c>
      <c r="W138" s="223">
        <f>+U138*E138</f>
        <v>0.13333333333333333</v>
      </c>
      <c r="X138" s="223">
        <f t="shared" si="160"/>
        <v>0.26666666666666666</v>
      </c>
      <c r="Y138" s="223">
        <f>+M138/F138</f>
        <v>8.3333333333333329E-2</v>
      </c>
      <c r="Z138" s="223">
        <f t="shared" si="159"/>
        <v>0.25</v>
      </c>
      <c r="AA138" s="223">
        <f>+Y138*E138</f>
        <v>3.3333333333333333E-2</v>
      </c>
      <c r="AB138" s="223">
        <f>+Z138*E138</f>
        <v>0.1</v>
      </c>
      <c r="AC138" s="320" t="s">
        <v>1850</v>
      </c>
      <c r="AD138" s="642" t="s">
        <v>1893</v>
      </c>
      <c r="AE138" s="642" t="s">
        <v>2277</v>
      </c>
      <c r="AF138" s="642" t="s">
        <v>2296</v>
      </c>
      <c r="AG138" s="932" t="s">
        <v>2412</v>
      </c>
      <c r="AH138" s="932" t="s">
        <v>2449</v>
      </c>
      <c r="AI138" s="186"/>
    </row>
    <row r="139" spans="1:35" ht="67.2" customHeight="1" thickBot="1" x14ac:dyDescent="0.4">
      <c r="A139" s="301"/>
      <c r="B139" s="1340" t="s">
        <v>1781</v>
      </c>
      <c r="C139" s="1324"/>
      <c r="D139" s="303"/>
      <c r="E139" s="268">
        <v>0.05</v>
      </c>
      <c r="F139" s="252"/>
      <c r="G139" s="192"/>
      <c r="H139" s="192"/>
      <c r="I139" s="198">
        <f>+AVERAGE(I140:I141)</f>
        <v>0.15625</v>
      </c>
      <c r="J139" s="198">
        <f>+AVERAGE(J140:J141)</f>
        <v>0.28125</v>
      </c>
      <c r="K139" s="198">
        <f>+K140+K141</f>
        <v>0.15625</v>
      </c>
      <c r="L139" s="198">
        <f>+L140+L141</f>
        <v>0.28125</v>
      </c>
      <c r="M139" s="197"/>
      <c r="N139" s="197"/>
      <c r="O139" s="197"/>
      <c r="P139" s="197"/>
      <c r="Q139" s="197"/>
      <c r="R139" s="1218"/>
      <c r="S139" s="199"/>
      <c r="T139" s="197"/>
      <c r="U139" s="221">
        <f>+AVERAGE(U140:U141)</f>
        <v>1</v>
      </c>
      <c r="V139" s="221">
        <f>+AVERAGE(V140:V141)</f>
        <v>0.75600000000000001</v>
      </c>
      <c r="W139" s="221">
        <f>+(W140+W141)*E139</f>
        <v>0.05</v>
      </c>
      <c r="X139" s="221">
        <f>+(X140+X141)*F139</f>
        <v>0</v>
      </c>
      <c r="Y139" s="198">
        <f>+AVERAGE(Y140:Y141)</f>
        <v>0.15625</v>
      </c>
      <c r="Z139" s="198">
        <f>+AVERAGE(Z140:Z141)</f>
        <v>0.46</v>
      </c>
      <c r="AA139" s="258">
        <f>+(AA140+AA141)*E139</f>
        <v>7.8125E-3</v>
      </c>
      <c r="AB139" s="258">
        <f>+(AB140+AB141)</f>
        <v>0.46</v>
      </c>
      <c r="AC139" s="192"/>
      <c r="AD139" s="192"/>
      <c r="AE139" s="192"/>
      <c r="AF139" s="192"/>
      <c r="AG139" s="683"/>
      <c r="AH139" s="192"/>
      <c r="AI139" s="186"/>
    </row>
    <row r="140" spans="1:35" ht="95.4" customHeight="1" thickBot="1" x14ac:dyDescent="0.4">
      <c r="A140" s="301"/>
      <c r="B140" s="1242" t="s">
        <v>1063</v>
      </c>
      <c r="C140" s="1242" t="s">
        <v>1259</v>
      </c>
      <c r="D140" s="303" t="s">
        <v>1064</v>
      </c>
      <c r="E140" s="264">
        <v>0.5</v>
      </c>
      <c r="F140" s="1244">
        <v>4</v>
      </c>
      <c r="G140" s="199">
        <v>0.25</v>
      </c>
      <c r="H140" s="199">
        <f>1+0.25</f>
        <v>1.25</v>
      </c>
      <c r="I140" s="205">
        <f>+G140/F140</f>
        <v>6.25E-2</v>
      </c>
      <c r="J140" s="205">
        <f t="shared" ref="J140:J141" si="161">+H140/F140</f>
        <v>0.3125</v>
      </c>
      <c r="K140" s="205">
        <f>+(G140/F140)*E140</f>
        <v>3.125E-2</v>
      </c>
      <c r="L140" s="205">
        <f t="shared" ref="L140:L141" si="162">+(H140/F140)*E140</f>
        <v>0.15625</v>
      </c>
      <c r="M140" s="272">
        <v>0.25</v>
      </c>
      <c r="N140" s="608">
        <v>0.05</v>
      </c>
      <c r="O140" s="608">
        <v>0.03</v>
      </c>
      <c r="P140" s="608">
        <v>0.08</v>
      </c>
      <c r="Q140" s="608">
        <v>0.05</v>
      </c>
      <c r="R140" s="608">
        <v>0</v>
      </c>
      <c r="S140" s="272">
        <f t="shared" si="96"/>
        <v>0.21000000000000002</v>
      </c>
      <c r="T140" s="272">
        <f t="shared" ref="T140:T141" si="163">+S140+M140</f>
        <v>0.46</v>
      </c>
      <c r="U140" s="205">
        <f>+(M140/G140)</f>
        <v>1</v>
      </c>
      <c r="V140" s="205">
        <f>+S140/((H140/4))</f>
        <v>0.67200000000000004</v>
      </c>
      <c r="W140" s="205">
        <f>+U140*E140</f>
        <v>0.5</v>
      </c>
      <c r="X140" s="205">
        <f t="shared" ref="X140:X141" si="164">+V140*E140</f>
        <v>0.33600000000000002</v>
      </c>
      <c r="Y140" s="205">
        <f>+M140/F140</f>
        <v>6.25E-2</v>
      </c>
      <c r="Z140" s="205">
        <f>+T140/1</f>
        <v>0.46</v>
      </c>
      <c r="AA140" s="205">
        <f>+Y140*E140</f>
        <v>3.125E-2</v>
      </c>
      <c r="AB140" s="205">
        <f>+Z140*E140</f>
        <v>0.23</v>
      </c>
      <c r="AC140" s="321" t="s">
        <v>1869</v>
      </c>
      <c r="AD140" s="642" t="s">
        <v>1905</v>
      </c>
      <c r="AE140" s="642" t="s">
        <v>2277</v>
      </c>
      <c r="AF140" s="642" t="s">
        <v>2320</v>
      </c>
      <c r="AG140" s="932" t="s">
        <v>2426</v>
      </c>
      <c r="AH140" s="932" t="s">
        <v>2449</v>
      </c>
      <c r="AI140" s="1118" t="s">
        <v>2576</v>
      </c>
    </row>
    <row r="141" spans="1:35" ht="93" customHeight="1" thickBot="1" x14ac:dyDescent="0.4">
      <c r="A141" s="301"/>
      <c r="B141" s="1242" t="s">
        <v>1065</v>
      </c>
      <c r="C141" s="1242" t="s">
        <v>1260</v>
      </c>
      <c r="D141" s="303" t="s">
        <v>1064</v>
      </c>
      <c r="E141" s="307">
        <v>0.5</v>
      </c>
      <c r="F141" s="262">
        <v>1</v>
      </c>
      <c r="G141" s="199">
        <v>0.25</v>
      </c>
      <c r="H141" s="272">
        <v>0.25</v>
      </c>
      <c r="I141" s="205">
        <f>+G141/F141</f>
        <v>0.25</v>
      </c>
      <c r="J141" s="205">
        <f t="shared" si="161"/>
        <v>0.25</v>
      </c>
      <c r="K141" s="205">
        <f>+(G141/F141)*E141</f>
        <v>0.125</v>
      </c>
      <c r="L141" s="205">
        <f t="shared" si="162"/>
        <v>0.125</v>
      </c>
      <c r="M141" s="272">
        <v>0.25</v>
      </c>
      <c r="N141" s="608">
        <v>0.05</v>
      </c>
      <c r="O141" s="608">
        <v>0.03</v>
      </c>
      <c r="P141" s="608">
        <v>0.08</v>
      </c>
      <c r="Q141" s="608">
        <v>0.05</v>
      </c>
      <c r="R141" s="608">
        <v>0</v>
      </c>
      <c r="S141" s="272">
        <f t="shared" si="96"/>
        <v>0.21000000000000002</v>
      </c>
      <c r="T141" s="272">
        <f t="shared" si="163"/>
        <v>0.46</v>
      </c>
      <c r="U141" s="205">
        <f>+(M141/G141)</f>
        <v>1</v>
      </c>
      <c r="V141" s="205">
        <f t="shared" si="147"/>
        <v>0.84000000000000008</v>
      </c>
      <c r="W141" s="205">
        <f>+U141*E141</f>
        <v>0.5</v>
      </c>
      <c r="X141" s="205">
        <f t="shared" si="164"/>
        <v>0.42000000000000004</v>
      </c>
      <c r="Y141" s="205">
        <f>+M141/F141</f>
        <v>0.25</v>
      </c>
      <c r="Z141" s="205">
        <f t="shared" ref="Z141" si="165">+T141/F141</f>
        <v>0.46</v>
      </c>
      <c r="AA141" s="205">
        <f>+Y141*E141</f>
        <v>0.125</v>
      </c>
      <c r="AB141" s="205">
        <f>+Z141*E141</f>
        <v>0.23</v>
      </c>
      <c r="AC141" s="321" t="s">
        <v>1869</v>
      </c>
      <c r="AD141" s="642" t="s">
        <v>1906</v>
      </c>
      <c r="AE141" s="642" t="s">
        <v>2277</v>
      </c>
      <c r="AF141" s="642" t="s">
        <v>2321</v>
      </c>
      <c r="AG141" s="932" t="s">
        <v>2428</v>
      </c>
      <c r="AH141" s="932" t="s">
        <v>2449</v>
      </c>
      <c r="AI141" s="932" t="s">
        <v>2564</v>
      </c>
    </row>
    <row r="142" spans="1:35" ht="67.2" customHeight="1" thickBot="1" x14ac:dyDescent="0.4">
      <c r="A142" s="180"/>
      <c r="B142" s="180"/>
      <c r="C142" s="180"/>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180"/>
    </row>
    <row r="143" spans="1:35" ht="67.2" customHeight="1" thickBot="1" x14ac:dyDescent="0.4">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row>
    <row r="144" spans="1:35" ht="67.2" customHeight="1" thickBot="1" x14ac:dyDescent="0.4">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row>
    <row r="145" spans="1:35" ht="67.2" customHeight="1" thickBot="1" x14ac:dyDescent="0.4">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row>
    <row r="146" spans="1:35" ht="67.2" customHeight="1" thickBot="1" x14ac:dyDescent="0.4">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row>
    <row r="147" spans="1:35" ht="67.2" customHeight="1" thickBot="1" x14ac:dyDescent="0.4">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row>
    <row r="148" spans="1:35" ht="67.2" customHeight="1" thickBot="1" x14ac:dyDescent="0.4">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row>
    <row r="149" spans="1:35" ht="67.2" customHeight="1" thickBot="1" x14ac:dyDescent="0.4">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row>
    <row r="150" spans="1:35" ht="67.2" customHeight="1" thickBot="1" x14ac:dyDescent="0.4">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row>
    <row r="151" spans="1:35" ht="67.2" customHeight="1" thickBot="1" x14ac:dyDescent="0.4">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row>
    <row r="152" spans="1:35" ht="67.2" customHeight="1" thickBot="1" x14ac:dyDescent="0.4">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row>
    <row r="153" spans="1:35" ht="67.2" customHeight="1" thickBot="1" x14ac:dyDescent="0.4">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row>
    <row r="154" spans="1:35" ht="67.2" customHeight="1" thickBot="1" x14ac:dyDescent="0.4">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row>
    <row r="155" spans="1:35" ht="67.2" customHeight="1" thickBot="1" x14ac:dyDescent="0.4">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row>
    <row r="156" spans="1:35" ht="67.2" customHeight="1" thickBot="1" x14ac:dyDescent="0.4">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row>
    <row r="157" spans="1:35" ht="67.2" customHeight="1" thickBot="1" x14ac:dyDescent="0.4">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row>
    <row r="158" spans="1:35" ht="67.2" customHeight="1" thickBot="1" x14ac:dyDescent="0.4">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row>
    <row r="159" spans="1:35" ht="67.2" customHeight="1" thickBot="1" x14ac:dyDescent="0.4">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row>
    <row r="160" spans="1:35" ht="67.2" customHeight="1" thickBot="1" x14ac:dyDescent="0.4">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row>
    <row r="161" spans="1:35" ht="67.2" customHeight="1" thickBot="1" x14ac:dyDescent="0.4">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row>
    <row r="162" spans="1:35" ht="67.2" customHeight="1" thickBot="1" x14ac:dyDescent="0.4">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row>
    <row r="163" spans="1:35" ht="67.2" customHeight="1" thickBot="1" x14ac:dyDescent="0.4">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row>
    <row r="164" spans="1:35" ht="67.2" customHeight="1" thickBot="1" x14ac:dyDescent="0.4">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row>
    <row r="165" spans="1:35" ht="67.2" customHeight="1" thickBot="1" x14ac:dyDescent="0.4">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row>
    <row r="166" spans="1:35" ht="67.2" customHeight="1" thickBot="1" x14ac:dyDescent="0.4">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row>
    <row r="167" spans="1:35" ht="67.2" customHeight="1" thickBot="1" x14ac:dyDescent="0.4">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row>
    <row r="168" spans="1:35" ht="67.2" customHeight="1" thickBot="1" x14ac:dyDescent="0.4">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row>
    <row r="169" spans="1:35" ht="67.2" customHeight="1" thickBot="1" x14ac:dyDescent="0.4">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row>
    <row r="170" spans="1:35" ht="67.2" customHeight="1" thickBot="1" x14ac:dyDescent="0.4">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row>
    <row r="171" spans="1:35" ht="67.2" customHeight="1" thickBot="1" x14ac:dyDescent="0.4">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row>
    <row r="172" spans="1:35" ht="67.2" customHeight="1" thickBot="1" x14ac:dyDescent="0.4">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row>
    <row r="173" spans="1:35" ht="67.2" customHeight="1" thickBot="1" x14ac:dyDescent="0.4">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row>
    <row r="174" spans="1:35" ht="67.2" customHeight="1" thickBot="1" x14ac:dyDescent="0.4">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row>
    <row r="175" spans="1:35" ht="67.2" customHeight="1" thickBot="1" x14ac:dyDescent="0.4">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row>
    <row r="176" spans="1:35" ht="67.2" customHeight="1" thickBot="1" x14ac:dyDescent="0.4">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row>
    <row r="177" spans="1:35" ht="67.2" customHeight="1" thickBot="1" x14ac:dyDescent="0.4">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row>
    <row r="178" spans="1:35" ht="67.2" customHeight="1" thickBot="1" x14ac:dyDescent="0.4">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row>
    <row r="179" spans="1:35" ht="67.2" customHeight="1" thickBot="1" x14ac:dyDescent="0.4">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row>
    <row r="180" spans="1:35" ht="67.2" customHeight="1" thickBot="1" x14ac:dyDescent="0.4">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row>
    <row r="181" spans="1:35" ht="67.2" customHeight="1" thickBot="1" x14ac:dyDescent="0.4">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row>
    <row r="182" spans="1:35" ht="67.2" customHeight="1" thickBot="1" x14ac:dyDescent="0.4">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row>
    <row r="183" spans="1:35" ht="67.2" customHeight="1" thickBot="1" x14ac:dyDescent="0.4">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row>
    <row r="184" spans="1:35" ht="67.2" customHeight="1" thickBot="1" x14ac:dyDescent="0.4">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row>
    <row r="185" spans="1:35" ht="67.2" customHeight="1" thickBot="1" x14ac:dyDescent="0.4">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row>
    <row r="186" spans="1:35" ht="67.2" customHeight="1" thickBot="1" x14ac:dyDescent="0.4">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row>
    <row r="187" spans="1:35" ht="67.2" customHeight="1" thickBot="1" x14ac:dyDescent="0.4">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row>
    <row r="188" spans="1:35" ht="67.2" customHeight="1" thickBot="1" x14ac:dyDescent="0.4">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row>
    <row r="189" spans="1:35" ht="67.2" customHeight="1" thickBot="1" x14ac:dyDescent="0.4">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row>
    <row r="190" spans="1:35" ht="67.2" customHeight="1" thickBot="1" x14ac:dyDescent="0.4">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0"/>
      <c r="AF190" s="180"/>
      <c r="AG190" s="180"/>
      <c r="AH190" s="180"/>
      <c r="AI190" s="180"/>
    </row>
    <row r="191" spans="1:35" ht="67.2" customHeight="1" thickBot="1" x14ac:dyDescent="0.4">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row>
    <row r="192" spans="1:35" ht="67.2" customHeight="1" thickBot="1" x14ac:dyDescent="0.4">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row>
    <row r="193" spans="1:35" ht="67.2" customHeight="1" thickBot="1" x14ac:dyDescent="0.4">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row>
    <row r="194" spans="1:35" ht="67.2" customHeight="1" thickBot="1" x14ac:dyDescent="0.4">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row>
    <row r="195" spans="1:35" ht="67.2" customHeight="1" thickBot="1" x14ac:dyDescent="0.4">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row>
    <row r="196" spans="1:35" ht="67.2" customHeight="1" thickBot="1" x14ac:dyDescent="0.4">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c r="AH196" s="180"/>
      <c r="AI196" s="180"/>
    </row>
    <row r="197" spans="1:35" ht="67.2" customHeight="1" thickBot="1" x14ac:dyDescent="0.4">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row>
    <row r="198" spans="1:35" ht="67.2" customHeight="1" thickBot="1" x14ac:dyDescent="0.4">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0"/>
      <c r="AG198" s="180"/>
      <c r="AH198" s="180"/>
      <c r="AI198" s="180"/>
    </row>
    <row r="199" spans="1:35" ht="67.2" customHeight="1" thickBot="1" x14ac:dyDescent="0.4">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row>
    <row r="200" spans="1:35" ht="67.2" customHeight="1" thickBot="1" x14ac:dyDescent="0.4">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I200" s="180"/>
    </row>
    <row r="201" spans="1:35" ht="67.2" customHeight="1" thickBot="1" x14ac:dyDescent="0.4">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0"/>
      <c r="AF201" s="180"/>
      <c r="AG201" s="180"/>
      <c r="AH201" s="180"/>
      <c r="AI201" s="180"/>
    </row>
    <row r="202" spans="1:35" ht="67.2" customHeight="1" thickBot="1" x14ac:dyDescent="0.4">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0"/>
      <c r="AG202" s="180"/>
      <c r="AH202" s="180"/>
      <c r="AI202" s="180"/>
    </row>
    <row r="203" spans="1:35" ht="67.2" customHeight="1" thickBot="1" x14ac:dyDescent="0.4">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row>
    <row r="204" spans="1:35" ht="67.2" customHeight="1" thickBot="1" x14ac:dyDescent="0.4">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row>
    <row r="205" spans="1:35" ht="67.2" customHeight="1" thickBot="1" x14ac:dyDescent="0.4">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row>
    <row r="206" spans="1:35" ht="67.2" customHeight="1" thickBot="1" x14ac:dyDescent="0.4">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c r="AH206" s="180"/>
      <c r="AI206" s="180"/>
    </row>
    <row r="207" spans="1:35" ht="67.2" customHeight="1" thickBot="1" x14ac:dyDescent="0.4">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row>
    <row r="208" spans="1:35" ht="67.2" customHeight="1" thickBot="1" x14ac:dyDescent="0.4">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0"/>
      <c r="AF208" s="180"/>
      <c r="AG208" s="180"/>
      <c r="AH208" s="180"/>
      <c r="AI208" s="180"/>
    </row>
    <row r="209" spans="1:35" ht="67.2" customHeight="1" thickBot="1" x14ac:dyDescent="0.4">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c r="AH209" s="180"/>
      <c r="AI209" s="180"/>
    </row>
    <row r="210" spans="1:35" ht="67.2" customHeight="1" thickBot="1" x14ac:dyDescent="0.4">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row>
    <row r="211" spans="1:35" ht="67.2" customHeight="1" thickBot="1" x14ac:dyDescent="0.4">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c r="AH211" s="180"/>
      <c r="AI211" s="180"/>
    </row>
    <row r="212" spans="1:35" ht="67.2" customHeight="1" thickBot="1" x14ac:dyDescent="0.4">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row>
    <row r="213" spans="1:35" ht="67.2" customHeight="1" thickBot="1" x14ac:dyDescent="0.4">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c r="AH213" s="180"/>
      <c r="AI213" s="180"/>
    </row>
    <row r="214" spans="1:35" ht="67.2" customHeight="1" thickBot="1" x14ac:dyDescent="0.4">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row>
    <row r="215" spans="1:35" ht="67.2" customHeight="1" thickBot="1" x14ac:dyDescent="0.4">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row>
    <row r="216" spans="1:35" ht="67.2" customHeight="1" thickBot="1" x14ac:dyDescent="0.4">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row>
    <row r="217" spans="1:35" ht="67.2" customHeight="1" thickBot="1" x14ac:dyDescent="0.4">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row>
    <row r="218" spans="1:35" ht="67.2" customHeight="1" thickBot="1" x14ac:dyDescent="0.4">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row>
    <row r="219" spans="1:35" ht="67.2" customHeight="1" thickBot="1" x14ac:dyDescent="0.4">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row>
    <row r="220" spans="1:35" ht="67.2" customHeight="1" thickBot="1" x14ac:dyDescent="0.4">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row>
    <row r="221" spans="1:35" ht="67.2" customHeight="1" thickBot="1" x14ac:dyDescent="0.4">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row>
    <row r="222" spans="1:35" ht="67.2" customHeight="1" thickBot="1" x14ac:dyDescent="0.4">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row>
    <row r="223" spans="1:35" ht="67.2" customHeight="1" thickBot="1" x14ac:dyDescent="0.4">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row>
    <row r="224" spans="1:35" ht="67.2" customHeight="1" thickBot="1" x14ac:dyDescent="0.4">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row>
    <row r="225" spans="1:35" ht="67.2" customHeight="1" thickBot="1" x14ac:dyDescent="0.4">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row>
    <row r="226" spans="1:35" ht="67.2" customHeight="1" thickBot="1" x14ac:dyDescent="0.4">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row>
    <row r="227" spans="1:35" ht="67.2" customHeight="1" thickBot="1" x14ac:dyDescent="0.4">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row>
    <row r="228" spans="1:35" ht="67.2" customHeight="1" thickBot="1" x14ac:dyDescent="0.4">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row>
    <row r="229" spans="1:35" ht="67.2" customHeight="1" thickBot="1" x14ac:dyDescent="0.4">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row>
    <row r="230" spans="1:35" ht="67.2" customHeight="1" thickBot="1" x14ac:dyDescent="0.4">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row>
    <row r="231" spans="1:35" ht="67.2" customHeight="1" thickBot="1" x14ac:dyDescent="0.4">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row>
    <row r="232" spans="1:35" ht="67.2" customHeight="1" thickBot="1" x14ac:dyDescent="0.4">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row>
    <row r="233" spans="1:35" ht="67.2" customHeight="1" thickBot="1" x14ac:dyDescent="0.4">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row>
    <row r="234" spans="1:35" ht="67.2" customHeight="1" thickBot="1" x14ac:dyDescent="0.4">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row>
    <row r="235" spans="1:35" ht="67.2" customHeight="1" thickBot="1" x14ac:dyDescent="0.4">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row>
    <row r="236" spans="1:35" ht="67.2" customHeight="1" thickBot="1" x14ac:dyDescent="0.4">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row>
    <row r="237" spans="1:35" ht="67.2" customHeight="1" thickBot="1" x14ac:dyDescent="0.4">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row>
    <row r="238" spans="1:35" ht="67.2" customHeight="1" thickBot="1" x14ac:dyDescent="0.4">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row>
    <row r="239" spans="1:35" ht="67.2" customHeight="1" thickBot="1" x14ac:dyDescent="0.4">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row>
    <row r="240" spans="1:35" ht="67.2" customHeight="1" thickBot="1" x14ac:dyDescent="0.4">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row>
    <row r="241" spans="1:35" ht="67.2" customHeight="1" thickBot="1" x14ac:dyDescent="0.4">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row>
    <row r="242" spans="1:35" ht="67.2" customHeight="1" thickBot="1" x14ac:dyDescent="0.4">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row>
    <row r="243" spans="1:35" ht="67.2" customHeight="1" thickBot="1" x14ac:dyDescent="0.4">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row>
    <row r="244" spans="1:35" ht="67.2" customHeight="1" thickBot="1" x14ac:dyDescent="0.4">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row>
    <row r="245" spans="1:35" ht="67.2" customHeight="1" thickBot="1" x14ac:dyDescent="0.4">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row>
    <row r="246" spans="1:35" ht="67.2" customHeight="1" thickBot="1" x14ac:dyDescent="0.4">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row>
    <row r="247" spans="1:35" ht="67.2" customHeight="1" thickBot="1" x14ac:dyDescent="0.4">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row>
    <row r="248" spans="1:35" ht="67.2" customHeight="1" thickBot="1" x14ac:dyDescent="0.4">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row>
    <row r="249" spans="1:35" ht="67.2" customHeight="1" thickBot="1" x14ac:dyDescent="0.4">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row>
    <row r="250" spans="1:35" ht="67.2" customHeight="1" thickBot="1" x14ac:dyDescent="0.4">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row>
    <row r="251" spans="1:35" ht="67.2" customHeight="1" thickBot="1" x14ac:dyDescent="0.4">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row>
    <row r="252" spans="1:35" ht="67.2" customHeight="1" thickBot="1" x14ac:dyDescent="0.4">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row>
    <row r="253" spans="1:35" ht="67.2" customHeight="1" thickBot="1" x14ac:dyDescent="0.4">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row>
    <row r="254" spans="1:35" ht="67.2" customHeight="1" thickBot="1" x14ac:dyDescent="0.4">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row>
    <row r="255" spans="1:35" ht="67.2" customHeight="1" thickBot="1" x14ac:dyDescent="0.4">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row>
    <row r="256" spans="1:35" ht="67.2" customHeight="1" thickBot="1" x14ac:dyDescent="0.4">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row>
    <row r="257" spans="1:35" ht="67.2" customHeight="1" thickBot="1" x14ac:dyDescent="0.4">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row>
    <row r="258" spans="1:35" ht="67.2" customHeight="1" thickBot="1" x14ac:dyDescent="0.4">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row>
    <row r="259" spans="1:35" ht="67.2" customHeight="1" thickBot="1" x14ac:dyDescent="0.4">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row>
    <row r="260" spans="1:35" ht="67.2" customHeight="1" thickBot="1" x14ac:dyDescent="0.4">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row>
    <row r="261" spans="1:35" ht="67.2" customHeight="1" thickBot="1" x14ac:dyDescent="0.4">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row>
    <row r="262" spans="1:35" ht="67.2" customHeight="1" thickBot="1" x14ac:dyDescent="0.4">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row>
    <row r="263" spans="1:35" ht="67.2" customHeight="1" thickBot="1" x14ac:dyDescent="0.4">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row>
    <row r="264" spans="1:35" ht="67.2" customHeight="1" thickBot="1" x14ac:dyDescent="0.4">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row>
    <row r="265" spans="1:35" ht="67.2" customHeight="1" thickBot="1" x14ac:dyDescent="0.4">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row>
    <row r="266" spans="1:35" ht="67.2" customHeight="1" thickBot="1" x14ac:dyDescent="0.4">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row>
    <row r="267" spans="1:35" ht="67.2" customHeight="1" thickBot="1" x14ac:dyDescent="0.4">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row>
    <row r="268" spans="1:35" ht="67.2" customHeight="1" thickBot="1" x14ac:dyDescent="0.4">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row>
    <row r="269" spans="1:35" ht="67.2" customHeight="1" thickBot="1" x14ac:dyDescent="0.4">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row>
    <row r="270" spans="1:35" ht="67.2" customHeight="1" thickBot="1" x14ac:dyDescent="0.4">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row>
    <row r="271" spans="1:35" ht="67.2" customHeight="1" thickBot="1" x14ac:dyDescent="0.4">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row>
    <row r="272" spans="1:35" ht="67.2" customHeight="1" thickBot="1" x14ac:dyDescent="0.4">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row>
    <row r="273" spans="1:35" ht="67.2" customHeight="1" thickBot="1" x14ac:dyDescent="0.4">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row>
    <row r="274" spans="1:35" ht="67.2" customHeight="1" thickBot="1" x14ac:dyDescent="0.4">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row>
    <row r="275" spans="1:35" ht="67.2" customHeight="1" thickBot="1" x14ac:dyDescent="0.4">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row>
    <row r="276" spans="1:35" ht="67.2" customHeight="1" thickBot="1" x14ac:dyDescent="0.4">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row>
    <row r="277" spans="1:35" ht="67.2" customHeight="1" thickBot="1" x14ac:dyDescent="0.4">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row>
    <row r="278" spans="1:35" ht="67.2" customHeight="1" thickBot="1" x14ac:dyDescent="0.4">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row>
    <row r="279" spans="1:35" ht="67.2" customHeight="1" thickBot="1" x14ac:dyDescent="0.4">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row>
    <row r="280" spans="1:35" ht="67.2" customHeight="1" thickBot="1" x14ac:dyDescent="0.4">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row>
    <row r="281" spans="1:35" ht="67.2" customHeight="1" thickBot="1" x14ac:dyDescent="0.4">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row>
    <row r="282" spans="1:35" ht="67.2" customHeight="1" thickBot="1" x14ac:dyDescent="0.4">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row>
    <row r="283" spans="1:35" ht="67.2" customHeight="1" thickBot="1" x14ac:dyDescent="0.4">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row>
    <row r="284" spans="1:35" ht="67.2" customHeight="1" thickBot="1" x14ac:dyDescent="0.4">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row>
    <row r="285" spans="1:35" ht="67.2" customHeight="1" thickBot="1" x14ac:dyDescent="0.4">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row>
    <row r="286" spans="1:35" ht="67.2" customHeight="1" thickBot="1" x14ac:dyDescent="0.4">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row>
    <row r="287" spans="1:35" ht="67.2" customHeight="1" thickBot="1" x14ac:dyDescent="0.4">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row>
    <row r="288" spans="1:35" ht="67.2" customHeight="1" thickBot="1" x14ac:dyDescent="0.4">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row>
    <row r="289" spans="1:35" ht="67.2" customHeight="1" thickBot="1" x14ac:dyDescent="0.4">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row>
    <row r="290" spans="1:35" ht="67.2" customHeight="1" thickBot="1" x14ac:dyDescent="0.4">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row>
    <row r="291" spans="1:35" ht="67.2" customHeight="1" thickBot="1" x14ac:dyDescent="0.4">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row>
    <row r="292" spans="1:35" ht="67.2" customHeight="1" thickBot="1" x14ac:dyDescent="0.4">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row>
    <row r="293" spans="1:35" ht="67.2" customHeight="1" thickBot="1" x14ac:dyDescent="0.4">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row>
    <row r="294" spans="1:35" ht="67.2" customHeight="1" thickBot="1" x14ac:dyDescent="0.4">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row>
    <row r="295" spans="1:35" ht="67.2" customHeight="1" thickBot="1" x14ac:dyDescent="0.4">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row>
    <row r="296" spans="1:35" ht="67.2" customHeight="1" thickBot="1" x14ac:dyDescent="0.4">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row>
    <row r="297" spans="1:35" ht="67.2" customHeight="1" thickBot="1" x14ac:dyDescent="0.4">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row>
    <row r="298" spans="1:35" ht="67.2" customHeight="1" thickBot="1" x14ac:dyDescent="0.4">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row>
    <row r="299" spans="1:35" ht="67.2" customHeight="1" thickBot="1" x14ac:dyDescent="0.4">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row>
    <row r="300" spans="1:35" ht="67.2" customHeight="1" thickBot="1" x14ac:dyDescent="0.4">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row>
    <row r="301" spans="1:35" ht="67.2" customHeight="1" thickBot="1" x14ac:dyDescent="0.4">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row>
    <row r="302" spans="1:35" ht="67.2" customHeight="1" thickBot="1" x14ac:dyDescent="0.4">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row>
    <row r="303" spans="1:35" ht="67.2" customHeight="1" thickBot="1" x14ac:dyDescent="0.4">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row>
    <row r="304" spans="1:35" ht="67.2" customHeight="1" thickBot="1" x14ac:dyDescent="0.4">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row>
    <row r="305" spans="1:35" ht="67.2" customHeight="1" thickBot="1" x14ac:dyDescent="0.4">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row>
    <row r="306" spans="1:35" ht="67.2" customHeight="1" thickBot="1" x14ac:dyDescent="0.4">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row>
    <row r="307" spans="1:35" ht="67.2" customHeight="1" thickBot="1" x14ac:dyDescent="0.4">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row>
    <row r="308" spans="1:35" ht="67.2" customHeight="1" thickBot="1" x14ac:dyDescent="0.4">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row>
    <row r="309" spans="1:35" ht="67.2" customHeight="1" thickBot="1" x14ac:dyDescent="0.4">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row>
    <row r="310" spans="1:35" ht="67.2" customHeight="1" thickBot="1" x14ac:dyDescent="0.4">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row>
    <row r="311" spans="1:35" ht="67.2" customHeight="1" thickBot="1" x14ac:dyDescent="0.4">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row>
    <row r="312" spans="1:35" ht="67.2" customHeight="1" thickBot="1" x14ac:dyDescent="0.4">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row>
    <row r="313" spans="1:35" ht="67.2" customHeight="1" thickBot="1" x14ac:dyDescent="0.4">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row>
    <row r="314" spans="1:35" ht="67.2" customHeight="1" thickBot="1" x14ac:dyDescent="0.4">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row>
    <row r="315" spans="1:35" ht="67.2" customHeight="1" thickBot="1" x14ac:dyDescent="0.4">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row>
    <row r="316" spans="1:35" ht="67.2" customHeight="1" thickBot="1" x14ac:dyDescent="0.4">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row>
    <row r="317" spans="1:35" ht="67.2" customHeight="1" thickBot="1" x14ac:dyDescent="0.4">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row>
    <row r="318" spans="1:35" ht="67.2" customHeight="1" thickBot="1" x14ac:dyDescent="0.4">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row>
    <row r="319" spans="1:35" ht="67.2" customHeight="1" thickBot="1" x14ac:dyDescent="0.4">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row>
    <row r="320" spans="1:35" ht="67.2" customHeight="1" thickBot="1" x14ac:dyDescent="0.4">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row>
    <row r="321" spans="1:35" ht="67.2" customHeight="1" thickBot="1" x14ac:dyDescent="0.4">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row>
    <row r="322" spans="1:35" ht="67.2" customHeight="1" thickBot="1" x14ac:dyDescent="0.4">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row>
    <row r="323" spans="1:35" ht="67.2" customHeight="1" thickBot="1" x14ac:dyDescent="0.4">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row>
    <row r="324" spans="1:35" ht="67.2" customHeight="1" thickBot="1" x14ac:dyDescent="0.4">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row>
    <row r="325" spans="1:35" ht="67.2" customHeight="1" thickBot="1" x14ac:dyDescent="0.4">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row>
    <row r="326" spans="1:35" ht="67.2" customHeight="1" thickBot="1" x14ac:dyDescent="0.4">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row>
    <row r="327" spans="1:35" ht="67.2" customHeight="1" thickBot="1" x14ac:dyDescent="0.4">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row>
    <row r="328" spans="1:35" ht="67.2" customHeight="1" thickBot="1" x14ac:dyDescent="0.4">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row>
    <row r="329" spans="1:35" ht="67.2" customHeight="1" thickBot="1" x14ac:dyDescent="0.4">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row>
    <row r="330" spans="1:35" ht="67.2" customHeight="1" thickBot="1" x14ac:dyDescent="0.4">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row>
    <row r="331" spans="1:35" ht="67.2" customHeight="1" thickBot="1" x14ac:dyDescent="0.4">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row>
    <row r="332" spans="1:35" ht="67.2" customHeight="1" thickBot="1" x14ac:dyDescent="0.4">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row>
    <row r="333" spans="1:35" ht="67.2" customHeight="1" thickBot="1" x14ac:dyDescent="0.4">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c r="AH333" s="180"/>
      <c r="AI333" s="180"/>
    </row>
    <row r="334" spans="1:35" ht="67.2" customHeight="1" thickBot="1" x14ac:dyDescent="0.4">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row>
    <row r="335" spans="1:35" ht="67.2" customHeight="1" thickBot="1" x14ac:dyDescent="0.4">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c r="AH335" s="180"/>
      <c r="AI335" s="180"/>
    </row>
    <row r="336" spans="1:35" ht="67.2" customHeight="1" thickBot="1" x14ac:dyDescent="0.4">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row>
    <row r="337" spans="1:35" ht="67.2" customHeight="1" thickBot="1" x14ac:dyDescent="0.4">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c r="AH337" s="180"/>
      <c r="AI337" s="180"/>
    </row>
    <row r="338" spans="1:35" ht="67.2" customHeight="1" thickBot="1" x14ac:dyDescent="0.4">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c r="AH338" s="180"/>
      <c r="AI338" s="180"/>
    </row>
    <row r="339" spans="1:35" ht="67.2" customHeight="1" thickBot="1" x14ac:dyDescent="0.4">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row>
    <row r="340" spans="1:35" ht="67.2" customHeight="1" thickBot="1" x14ac:dyDescent="0.4">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row>
    <row r="341" spans="1:35" ht="67.2" customHeight="1" thickBot="1" x14ac:dyDescent="0.4">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row>
  </sheetData>
  <sheetProtection password="DF7C" sheet="1" objects="1" scenarios="1"/>
  <autoFilter ref="A2:AJ141" xr:uid="{00000000-0009-0000-0000-000004000000}">
    <sortState xmlns:xlrd2="http://schemas.microsoft.com/office/spreadsheetml/2017/richdata2" ref="A3:S141">
      <sortCondition sortBy="cellColor" ref="B2" dxfId="0"/>
    </sortState>
  </autoFilter>
  <mergeCells count="38">
    <mergeCell ref="B139:C139"/>
    <mergeCell ref="B109:C109"/>
    <mergeCell ref="B110:C110"/>
    <mergeCell ref="B116:C116"/>
    <mergeCell ref="B123:C123"/>
    <mergeCell ref="B131:C131"/>
    <mergeCell ref="B134:C134"/>
    <mergeCell ref="B105:C105"/>
    <mergeCell ref="B58:C58"/>
    <mergeCell ref="B61:C61"/>
    <mergeCell ref="B66:C66"/>
    <mergeCell ref="B68:C68"/>
    <mergeCell ref="B74:C74"/>
    <mergeCell ref="B77:C77"/>
    <mergeCell ref="B78:C78"/>
    <mergeCell ref="B85:C85"/>
    <mergeCell ref="B92:C92"/>
    <mergeCell ref="B94:C94"/>
    <mergeCell ref="B99:C99"/>
    <mergeCell ref="B57:C57"/>
    <mergeCell ref="B18:C18"/>
    <mergeCell ref="B23:C23"/>
    <mergeCell ref="B26:C26"/>
    <mergeCell ref="B30:C30"/>
    <mergeCell ref="B32:C32"/>
    <mergeCell ref="B36:C36"/>
    <mergeCell ref="B40:C40"/>
    <mergeCell ref="B43:C43"/>
    <mergeCell ref="B48:C48"/>
    <mergeCell ref="B49:C49"/>
    <mergeCell ref="B55:C55"/>
    <mergeCell ref="B17:C17"/>
    <mergeCell ref="B2:C2"/>
    <mergeCell ref="B3:C3"/>
    <mergeCell ref="B4:C4"/>
    <mergeCell ref="B5:C5"/>
    <mergeCell ref="B9:C9"/>
    <mergeCell ref="B12:C12"/>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I1000"/>
  <sheetViews>
    <sheetView zoomScale="29" zoomScaleNormal="29" workbookViewId="0">
      <pane xSplit="3" ySplit="4" topLeftCell="M5" activePane="bottomRight" state="frozen"/>
      <selection pane="topRight" activeCell="D1" sqref="D1"/>
      <selection pane="bottomLeft" activeCell="A5" sqref="A5"/>
      <selection pane="bottomRight" activeCell="AC1" sqref="AC1:AI1048576"/>
    </sheetView>
  </sheetViews>
  <sheetFormatPr baseColWidth="10" defaultColWidth="14.44140625" defaultRowHeight="15" customHeight="1" x14ac:dyDescent="0.4"/>
  <cols>
    <col min="1" max="1" width="7.88671875" style="139" hidden="1" customWidth="1"/>
    <col min="2" max="2" width="64.5546875" style="139" customWidth="1"/>
    <col min="3" max="3" width="73.33203125" style="139" customWidth="1"/>
    <col min="4" max="4" width="57.5546875" style="139" customWidth="1"/>
    <col min="5" max="5" width="34" style="139" customWidth="1"/>
    <col min="6" max="6" width="43.109375" style="139" customWidth="1"/>
    <col min="7" max="7" width="36.6640625" style="139" customWidth="1"/>
    <col min="8" max="8" width="33.109375" style="139" customWidth="1"/>
    <col min="9" max="9" width="42.6640625" style="139" customWidth="1"/>
    <col min="10" max="10" width="40.33203125" style="139" customWidth="1"/>
    <col min="11" max="11" width="47.77734375" style="139" customWidth="1"/>
    <col min="12" max="12" width="50" style="139" customWidth="1"/>
    <col min="13" max="13" width="35.77734375" style="139" customWidth="1"/>
    <col min="14" max="14" width="36.77734375" style="139" customWidth="1"/>
    <col min="15" max="15" width="34" style="139" customWidth="1"/>
    <col min="16" max="16" width="34.21875" style="139" customWidth="1"/>
    <col min="17" max="17" width="35" style="139" customWidth="1"/>
    <col min="18" max="18" width="30.33203125" style="139" customWidth="1"/>
    <col min="19" max="19" width="27.5546875" style="139" customWidth="1"/>
    <col min="20" max="20" width="31.6640625" style="139" customWidth="1"/>
    <col min="21" max="21" width="39.109375" style="139" customWidth="1"/>
    <col min="22" max="22" width="39.33203125" style="139" customWidth="1"/>
    <col min="23" max="23" width="38.5546875" style="139" customWidth="1"/>
    <col min="24" max="24" width="39.6640625" style="139" customWidth="1"/>
    <col min="25" max="25" width="37.44140625" style="139" customWidth="1"/>
    <col min="26" max="26" width="39.88671875" style="139" customWidth="1"/>
    <col min="27" max="27" width="39" style="139" customWidth="1"/>
    <col min="28" max="28" width="42.44140625" style="139" customWidth="1"/>
    <col min="29" max="29" width="48.109375" style="168" hidden="1" customWidth="1"/>
    <col min="30" max="30" width="68.88671875" style="139" hidden="1" customWidth="1"/>
    <col min="31" max="31" width="46.6640625" style="139" hidden="1" customWidth="1"/>
    <col min="32" max="32" width="54.6640625" style="139" hidden="1" customWidth="1"/>
    <col min="33" max="33" width="56.21875" style="139" hidden="1" customWidth="1"/>
    <col min="34" max="34" width="66.6640625" style="139" hidden="1" customWidth="1"/>
    <col min="35" max="35" width="56.77734375" style="139" hidden="1" customWidth="1"/>
    <col min="36" max="41" width="10.6640625" style="139" customWidth="1"/>
    <col min="42" max="16384" width="14.44140625" style="139"/>
  </cols>
  <sheetData>
    <row r="1" spans="1:113" ht="21.6" thickBot="1" x14ac:dyDescent="0.45">
      <c r="A1" s="138"/>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20"/>
      <c r="AD1" s="619"/>
      <c r="AE1" s="619"/>
      <c r="AF1" s="619"/>
      <c r="AG1" s="619"/>
      <c r="AH1" s="138"/>
      <c r="AI1" s="138"/>
    </row>
    <row r="2" spans="1:113" s="342" customFormat="1" ht="222.6" customHeight="1" thickBot="1" x14ac:dyDescent="0.45">
      <c r="A2" s="334"/>
      <c r="B2" s="1294" t="s">
        <v>0</v>
      </c>
      <c r="C2" s="1295"/>
      <c r="D2" s="335" t="s">
        <v>1</v>
      </c>
      <c r="E2" s="336" t="s">
        <v>2</v>
      </c>
      <c r="F2" s="337" t="s">
        <v>3</v>
      </c>
      <c r="G2" s="337" t="s">
        <v>4</v>
      </c>
      <c r="H2" s="337" t="s">
        <v>1873</v>
      </c>
      <c r="I2" s="337" t="s">
        <v>5</v>
      </c>
      <c r="J2" s="337" t="s">
        <v>1874</v>
      </c>
      <c r="K2" s="338" t="s">
        <v>6</v>
      </c>
      <c r="L2" s="338" t="s">
        <v>1875</v>
      </c>
      <c r="M2" s="339" t="s">
        <v>1847</v>
      </c>
      <c r="N2" s="1157" t="s">
        <v>1876</v>
      </c>
      <c r="O2" s="1157" t="s">
        <v>1878</v>
      </c>
      <c r="P2" s="1157" t="s">
        <v>1877</v>
      </c>
      <c r="Q2" s="1157" t="s">
        <v>2442</v>
      </c>
      <c r="R2" s="1157" t="s">
        <v>2486</v>
      </c>
      <c r="S2" s="1157" t="s">
        <v>1879</v>
      </c>
      <c r="T2" s="1157" t="s">
        <v>1880</v>
      </c>
      <c r="U2" s="539" t="s">
        <v>7</v>
      </c>
      <c r="V2" s="1196" t="s">
        <v>2487</v>
      </c>
      <c r="W2" s="464" t="s">
        <v>8</v>
      </c>
      <c r="X2" s="1165" t="s">
        <v>2489</v>
      </c>
      <c r="Y2" s="463" t="s">
        <v>1882</v>
      </c>
      <c r="Z2" s="1197" t="s">
        <v>2488</v>
      </c>
      <c r="AA2" s="667" t="s">
        <v>1849</v>
      </c>
      <c r="AB2" s="1165" t="s">
        <v>2490</v>
      </c>
      <c r="AC2" s="340" t="s">
        <v>2491</v>
      </c>
      <c r="AD2" s="600" t="s">
        <v>1883</v>
      </c>
      <c r="AE2" s="601" t="s">
        <v>2298</v>
      </c>
      <c r="AF2" s="1082" t="s">
        <v>2299</v>
      </c>
      <c r="AG2" s="1083" t="s">
        <v>2351</v>
      </c>
      <c r="AH2" s="1083" t="s">
        <v>2443</v>
      </c>
      <c r="AI2" s="1083" t="s">
        <v>1881</v>
      </c>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c r="BT2" s="341"/>
      <c r="BU2" s="341"/>
      <c r="BV2" s="341"/>
      <c r="BW2" s="341"/>
      <c r="BX2" s="341"/>
      <c r="BY2" s="341"/>
      <c r="BZ2" s="341"/>
      <c r="CA2" s="341"/>
      <c r="CB2" s="341"/>
      <c r="CC2" s="341"/>
      <c r="CD2" s="341"/>
      <c r="CE2" s="341"/>
      <c r="CF2" s="341"/>
      <c r="CG2" s="341"/>
      <c r="CH2" s="341"/>
      <c r="CI2" s="341"/>
      <c r="CJ2" s="341"/>
      <c r="CK2" s="341"/>
      <c r="CL2" s="341"/>
      <c r="CM2" s="341"/>
      <c r="CN2" s="341"/>
      <c r="CO2" s="341"/>
      <c r="CP2" s="341"/>
      <c r="CQ2" s="341"/>
      <c r="CR2" s="341"/>
      <c r="CS2" s="341"/>
      <c r="CT2" s="341"/>
      <c r="CU2" s="341"/>
      <c r="CV2" s="341"/>
      <c r="CW2" s="341"/>
      <c r="CX2" s="341"/>
      <c r="CY2" s="341"/>
      <c r="CZ2" s="341"/>
      <c r="DA2" s="341"/>
      <c r="DB2" s="341"/>
      <c r="DC2" s="341"/>
      <c r="DD2" s="341"/>
      <c r="DE2" s="341"/>
      <c r="DF2" s="341"/>
      <c r="DG2" s="341"/>
      <c r="DH2" s="341"/>
      <c r="DI2" s="341"/>
    </row>
    <row r="3" spans="1:113" ht="93" customHeight="1" thickBot="1" x14ac:dyDescent="0.9">
      <c r="A3" s="140"/>
      <c r="B3" s="1343" t="s">
        <v>1842</v>
      </c>
      <c r="C3" s="1344"/>
      <c r="D3" s="621"/>
      <c r="E3" s="622">
        <v>0.02</v>
      </c>
      <c r="F3" s="623"/>
      <c r="G3" s="621"/>
      <c r="H3" s="621"/>
      <c r="I3" s="616">
        <f>(I4+I30)/2</f>
        <v>0.25509259259259259</v>
      </c>
      <c r="J3" s="616">
        <f>(J4+J30)/2</f>
        <v>0.26321869488536154</v>
      </c>
      <c r="K3" s="617">
        <f>(K4+K30)/2</f>
        <v>6.9222222222222241E-2</v>
      </c>
      <c r="L3" s="617">
        <f>(L4+L30)/2</f>
        <v>0.24656944444444442</v>
      </c>
      <c r="M3" s="624"/>
      <c r="N3" s="624"/>
      <c r="O3" s="624"/>
      <c r="P3" s="624"/>
      <c r="Q3" s="624"/>
      <c r="R3" s="624"/>
      <c r="S3" s="624"/>
      <c r="T3" s="624"/>
      <c r="U3" s="776">
        <f>(U4+U30)/2</f>
        <v>0.40277777777777779</v>
      </c>
      <c r="V3" s="776">
        <f>(V4+V30)/2</f>
        <v>0.87047558922558932</v>
      </c>
      <c r="W3" s="777">
        <f>+F4+F30</f>
        <v>0.13582500000000003</v>
      </c>
      <c r="X3" s="777">
        <f>+H4+H30</f>
        <v>0.55623295454545452</v>
      </c>
      <c r="Y3" s="776">
        <f>(Y4+Y30)/2</f>
        <v>5.5588624338624326E-2</v>
      </c>
      <c r="Z3" s="776">
        <f>(Z4+Z30)/2</f>
        <v>0.36192553511303516</v>
      </c>
      <c r="AA3" s="777">
        <f>(AA4*E5+AA30*E30)</f>
        <v>3.0192916666666677E-2</v>
      </c>
      <c r="AB3" s="777">
        <f>(AB4*E4+AB30*E30)</f>
        <v>0.33027767045454548</v>
      </c>
      <c r="AC3" s="1121"/>
      <c r="AD3" s="143"/>
      <c r="AE3" s="143"/>
      <c r="AF3" s="143"/>
      <c r="AG3" s="143"/>
      <c r="AH3" s="143"/>
      <c r="AI3" s="142"/>
    </row>
    <row r="4" spans="1:113" ht="106.95" customHeight="1" thickBot="1" x14ac:dyDescent="0.45">
      <c r="A4" s="140"/>
      <c r="B4" s="1345" t="s">
        <v>1837</v>
      </c>
      <c r="C4" s="1342"/>
      <c r="D4" s="158"/>
      <c r="E4" s="159">
        <v>0.75</v>
      </c>
      <c r="F4" s="160">
        <f>+E4*W4</f>
        <v>0.12300000000000003</v>
      </c>
      <c r="G4" s="143"/>
      <c r="H4" s="160">
        <f>+E4*X4</f>
        <v>0.37455545454545458</v>
      </c>
      <c r="I4" s="145">
        <f>+(I5+I14+I22)/3</f>
        <v>0.28333333333333333</v>
      </c>
      <c r="J4" s="145">
        <f>+(J5+J14+J22)/3</f>
        <v>0.21841269841269842</v>
      </c>
      <c r="K4" s="146">
        <f>+(K5+K14+K22)/3</f>
        <v>5.4833333333333345E-2</v>
      </c>
      <c r="L4" s="146">
        <f>+(L5+L14+L22)/3</f>
        <v>0.20013888888888887</v>
      </c>
      <c r="M4" s="143"/>
      <c r="N4" s="143"/>
      <c r="O4" s="143"/>
      <c r="P4" s="143"/>
      <c r="Q4" s="143"/>
      <c r="R4" s="1227"/>
      <c r="S4" s="143"/>
      <c r="T4" s="143"/>
      <c r="U4" s="145">
        <f>+(U5+U14+U22)/3</f>
        <v>0.58333333333333337</v>
      </c>
      <c r="V4" s="145">
        <f>+(V5+V14+V22)/3</f>
        <v>0.86391414141414147</v>
      </c>
      <c r="W4" s="146">
        <f>+W5+W14+W22</f>
        <v>0.16400000000000003</v>
      </c>
      <c r="X4" s="146">
        <f>+X5+X14+X22</f>
        <v>0.49940727272727276</v>
      </c>
      <c r="Y4" s="145">
        <f>(Y5+Y14+Y22)/3</f>
        <v>6.4880952380952372E-2</v>
      </c>
      <c r="Z4" s="145">
        <f>(Z5+Z14+Z22)/3</f>
        <v>0.35168903318903322</v>
      </c>
      <c r="AA4" s="146">
        <f>(AA5+AA14+AA22)</f>
        <v>6.946666666666669E-2</v>
      </c>
      <c r="AB4" s="146">
        <f>(AB5*E5+AB14*E14+AB22*E22)</f>
        <v>0.32727939393939398</v>
      </c>
      <c r="AC4" s="1122"/>
      <c r="AD4" s="143"/>
      <c r="AE4" s="143"/>
      <c r="AF4" s="143"/>
      <c r="AG4" s="143"/>
      <c r="AH4" s="143"/>
      <c r="AI4" s="142"/>
    </row>
    <row r="5" spans="1:113" ht="98.4" customHeight="1" thickBot="1" x14ac:dyDescent="0.45">
      <c r="A5" s="140"/>
      <c r="B5" s="1341" t="s">
        <v>1782</v>
      </c>
      <c r="C5" s="1342"/>
      <c r="D5" s="158"/>
      <c r="E5" s="109">
        <v>0.4</v>
      </c>
      <c r="F5" s="147"/>
      <c r="G5" s="143"/>
      <c r="H5" s="143"/>
      <c r="I5" s="148">
        <f>+AVERAGE(I6:I13)</f>
        <v>0.19999999999999998</v>
      </c>
      <c r="J5" s="148">
        <f>+AVERAGE(J6:J13)</f>
        <v>0.22666666666666666</v>
      </c>
      <c r="K5" s="148">
        <f>+K6+K7+K8+K9+K10+K11+K12+K13</f>
        <v>8.7000000000000008E-2</v>
      </c>
      <c r="L5" s="148">
        <f>+L6+L7+L8+L9+L10+L11+L12+L13</f>
        <v>0.16666666666666663</v>
      </c>
      <c r="M5" s="149"/>
      <c r="N5" s="149"/>
      <c r="O5" s="149"/>
      <c r="P5" s="149"/>
      <c r="Q5" s="149"/>
      <c r="R5" s="1226"/>
      <c r="S5" s="149"/>
      <c r="T5" s="149"/>
      <c r="U5" s="626">
        <f>+AVERAGE(U6:U13)</f>
        <v>0.75</v>
      </c>
      <c r="V5" s="626">
        <f>+AVERAGE(V6:V13)</f>
        <v>0.75424242424242427</v>
      </c>
      <c r="W5" s="626">
        <f>+(W6+W7+W8+W9+W10+W11+W12+W13)*E5</f>
        <v>0.14400000000000002</v>
      </c>
      <c r="X5" s="626">
        <f>+(X6+X7+X8+X9+X10+X11+X12+X13)*E5</f>
        <v>0.20040727272727274</v>
      </c>
      <c r="Y5" s="148">
        <f>+AVERAGE(Y6:Y13)</f>
        <v>0.13749999999999998</v>
      </c>
      <c r="Z5" s="148">
        <f>+((Z6-Y6)/8)+((Z7-Y7)/8)+((Z8-Y8)/8)+((Z9-Y9/8))+((Z10-Y10/8))+((Z11-Y11)/8)+((Z12-Y12)/8)+((Z13-Y13)/8)+Y5</f>
        <v>0.30019696969696968</v>
      </c>
      <c r="AA5" s="148">
        <f>+(AA6+AA7+AA8+AA9+AA10+AA11+AA12+AA13)*E5</f>
        <v>6.1466666666666683E-2</v>
      </c>
      <c r="AB5" s="148">
        <f>+(AB6+AB7+AB8+AB9+AB10+AB11+AB12+AB13)</f>
        <v>0.29172121212121216</v>
      </c>
      <c r="AC5" s="1123"/>
      <c r="AD5" s="1125" t="s">
        <v>2000</v>
      </c>
      <c r="AE5" s="143"/>
      <c r="AF5" s="143"/>
      <c r="AG5" s="143"/>
      <c r="AH5" s="143"/>
      <c r="AI5" s="142"/>
    </row>
    <row r="6" spans="1:113" ht="148.94999999999999" customHeight="1" thickBot="1" x14ac:dyDescent="0.45">
      <c r="A6" s="140"/>
      <c r="B6" s="141" t="s">
        <v>1066</v>
      </c>
      <c r="C6" s="155" t="s">
        <v>1067</v>
      </c>
      <c r="D6" s="158" t="s">
        <v>1068</v>
      </c>
      <c r="E6" s="154">
        <v>0.2</v>
      </c>
      <c r="F6" s="150">
        <v>60</v>
      </c>
      <c r="G6" s="161">
        <v>0</v>
      </c>
      <c r="H6" s="161">
        <v>20</v>
      </c>
      <c r="I6" s="151"/>
      <c r="J6" s="151">
        <f>+H6/F6</f>
        <v>0.33333333333333331</v>
      </c>
      <c r="K6" s="151"/>
      <c r="L6" s="151">
        <f>+(H6/F6)*E6</f>
        <v>6.6666666666666666E-2</v>
      </c>
      <c r="M6" s="161"/>
      <c r="N6" s="627">
        <v>4</v>
      </c>
      <c r="O6" s="627">
        <v>7</v>
      </c>
      <c r="P6" s="627">
        <v>4</v>
      </c>
      <c r="Q6" s="627">
        <v>14</v>
      </c>
      <c r="R6" s="1225"/>
      <c r="S6" s="625">
        <f>+N6+O6+P6+Q6+R6</f>
        <v>29</v>
      </c>
      <c r="T6" s="625">
        <f t="shared" ref="T6:T13" si="0">+S6+M6</f>
        <v>29</v>
      </c>
      <c r="U6" s="152"/>
      <c r="V6" s="152">
        <v>1</v>
      </c>
      <c r="W6" s="152"/>
      <c r="X6" s="152">
        <f>+V6*E6</f>
        <v>0.2</v>
      </c>
      <c r="Y6" s="152"/>
      <c r="Z6" s="152">
        <f t="shared" ref="Z6:Z13" si="1">+T6/F6</f>
        <v>0.48333333333333334</v>
      </c>
      <c r="AA6" s="151">
        <f>+Z6*E6</f>
        <v>9.6666666666666679E-2</v>
      </c>
      <c r="AB6" s="151">
        <f>+Z6*E6</f>
        <v>9.6666666666666679E-2</v>
      </c>
      <c r="AC6" s="659" t="s">
        <v>1850</v>
      </c>
      <c r="AD6" s="1087" t="s">
        <v>1893</v>
      </c>
      <c r="AE6" s="143"/>
      <c r="AF6" s="1087" t="s">
        <v>2297</v>
      </c>
      <c r="AG6" s="1087" t="s">
        <v>2412</v>
      </c>
      <c r="AH6" s="1087" t="s">
        <v>2448</v>
      </c>
      <c r="AI6" s="1126" t="s">
        <v>2482</v>
      </c>
    </row>
    <row r="7" spans="1:113" ht="142.19999999999999" customHeight="1" thickBot="1" x14ac:dyDescent="0.45">
      <c r="A7" s="140"/>
      <c r="B7" s="1015" t="s">
        <v>1069</v>
      </c>
      <c r="C7" s="1016" t="s">
        <v>1070</v>
      </c>
      <c r="D7" s="158" t="s">
        <v>1071</v>
      </c>
      <c r="E7" s="110">
        <v>0.2</v>
      </c>
      <c r="F7" s="150">
        <v>500</v>
      </c>
      <c r="G7" s="161">
        <v>50</v>
      </c>
      <c r="H7" s="161">
        <v>150</v>
      </c>
      <c r="I7" s="151">
        <f t="shared" ref="I7:I13" si="2">+G7/F7</f>
        <v>0.1</v>
      </c>
      <c r="J7" s="151">
        <f t="shared" ref="J7:J29" si="3">+H7/F7</f>
        <v>0.3</v>
      </c>
      <c r="K7" s="151">
        <f t="shared" ref="K7:K13" si="4">+(G7/F7)*E7</f>
        <v>2.0000000000000004E-2</v>
      </c>
      <c r="L7" s="151">
        <f>+(H7/F7)*E7</f>
        <v>0.06</v>
      </c>
      <c r="M7" s="161">
        <v>50</v>
      </c>
      <c r="N7" s="627">
        <v>25</v>
      </c>
      <c r="O7" s="627">
        <v>50</v>
      </c>
      <c r="P7" s="627">
        <v>119</v>
      </c>
      <c r="Q7" s="627">
        <v>88</v>
      </c>
      <c r="R7" s="627">
        <v>0</v>
      </c>
      <c r="S7" s="625">
        <f t="shared" ref="S7:S52" si="5">+N7+O7+P7+Q7+R7</f>
        <v>282</v>
      </c>
      <c r="T7" s="625">
        <f t="shared" si="0"/>
        <v>332</v>
      </c>
      <c r="U7" s="152">
        <f>+(M7/G7)</f>
        <v>1</v>
      </c>
      <c r="V7" s="152">
        <v>1</v>
      </c>
      <c r="W7" s="152">
        <f t="shared" ref="W7:W13" si="6">+U7*E7</f>
        <v>0.2</v>
      </c>
      <c r="X7" s="152">
        <f>+V7*E7</f>
        <v>0.2</v>
      </c>
      <c r="Y7" s="152">
        <f t="shared" ref="Y7:Y13" si="7">+M7/F7</f>
        <v>0.1</v>
      </c>
      <c r="Z7" s="152">
        <f t="shared" si="1"/>
        <v>0.66400000000000003</v>
      </c>
      <c r="AA7" s="151">
        <f t="shared" ref="AA7:AA13" si="8">+Y7*E7</f>
        <v>2.0000000000000004E-2</v>
      </c>
      <c r="AB7" s="151">
        <f>+Z7*E7</f>
        <v>0.1328</v>
      </c>
      <c r="AC7" s="659" t="s">
        <v>1850</v>
      </c>
      <c r="AD7" s="1087" t="s">
        <v>1893</v>
      </c>
      <c r="AE7" s="143"/>
      <c r="AF7" s="1087" t="s">
        <v>2297</v>
      </c>
      <c r="AG7" s="1087" t="s">
        <v>2412</v>
      </c>
      <c r="AH7" s="1087" t="s">
        <v>2448</v>
      </c>
      <c r="AI7" s="1087" t="s">
        <v>2568</v>
      </c>
    </row>
    <row r="8" spans="1:113" ht="187.2" customHeight="1" thickBot="1" x14ac:dyDescent="0.45">
      <c r="A8" s="140"/>
      <c r="B8" s="141" t="s">
        <v>1072</v>
      </c>
      <c r="C8" s="155" t="s">
        <v>1073</v>
      </c>
      <c r="D8" s="158" t="s">
        <v>1071</v>
      </c>
      <c r="E8" s="110">
        <v>0.1</v>
      </c>
      <c r="F8" s="150">
        <v>1</v>
      </c>
      <c r="G8" s="161">
        <v>0.25</v>
      </c>
      <c r="H8" s="161">
        <v>0.25</v>
      </c>
      <c r="I8" s="151">
        <f t="shared" si="2"/>
        <v>0.25</v>
      </c>
      <c r="J8" s="151">
        <f t="shared" si="3"/>
        <v>0.25</v>
      </c>
      <c r="K8" s="151">
        <f t="shared" si="4"/>
        <v>2.5000000000000001E-2</v>
      </c>
      <c r="L8" s="151">
        <f>+(H8/F8)*E8</f>
        <v>2.5000000000000001E-2</v>
      </c>
      <c r="M8" s="161">
        <v>0.25</v>
      </c>
      <c r="N8" s="627">
        <v>0</v>
      </c>
      <c r="O8" s="627">
        <v>0.12</v>
      </c>
      <c r="P8" s="627">
        <v>7.0000000000000007E-2</v>
      </c>
      <c r="Q8" s="627">
        <v>0.06</v>
      </c>
      <c r="R8" s="1225"/>
      <c r="S8" s="625">
        <f t="shared" si="5"/>
        <v>0.25</v>
      </c>
      <c r="T8" s="625">
        <f t="shared" si="0"/>
        <v>0.5</v>
      </c>
      <c r="U8" s="152">
        <f t="shared" ref="U8:U13" si="9">+(M8/G8)</f>
        <v>1</v>
      </c>
      <c r="V8" s="152">
        <f t="shared" ref="V8:V13" si="10">+S8/H8</f>
        <v>1</v>
      </c>
      <c r="W8" s="152">
        <f t="shared" si="6"/>
        <v>0.1</v>
      </c>
      <c r="X8" s="152">
        <f t="shared" ref="X8:X29" si="11">+V8*E8</f>
        <v>0.1</v>
      </c>
      <c r="Y8" s="152">
        <f t="shared" si="7"/>
        <v>0.25</v>
      </c>
      <c r="Z8" s="152">
        <f t="shared" si="1"/>
        <v>0.5</v>
      </c>
      <c r="AA8" s="151">
        <f>+Y8*E8</f>
        <v>2.5000000000000001E-2</v>
      </c>
      <c r="AB8" s="151">
        <f>+Z8*E8</f>
        <v>0.05</v>
      </c>
      <c r="AC8" s="659" t="s">
        <v>1850</v>
      </c>
      <c r="AD8" s="1087" t="s">
        <v>1893</v>
      </c>
      <c r="AE8" s="143"/>
      <c r="AF8" s="1087" t="s">
        <v>2297</v>
      </c>
      <c r="AG8" s="1087" t="s">
        <v>2412</v>
      </c>
      <c r="AH8" s="1087" t="s">
        <v>2448</v>
      </c>
      <c r="AI8" s="1126" t="s">
        <v>2482</v>
      </c>
    </row>
    <row r="9" spans="1:113" ht="174.6" customHeight="1" thickBot="1" x14ac:dyDescent="0.45">
      <c r="A9" s="140"/>
      <c r="B9" s="1015" t="s">
        <v>1074</v>
      </c>
      <c r="C9" s="1016" t="s">
        <v>1075</v>
      </c>
      <c r="D9" s="158" t="s">
        <v>1071</v>
      </c>
      <c r="E9" s="110">
        <v>0.1</v>
      </c>
      <c r="F9" s="150">
        <v>1</v>
      </c>
      <c r="G9" s="161">
        <v>0</v>
      </c>
      <c r="H9" s="161">
        <v>0</v>
      </c>
      <c r="I9" s="151"/>
      <c r="J9" s="151"/>
      <c r="K9" s="151"/>
      <c r="L9" s="151"/>
      <c r="M9" s="161"/>
      <c r="N9" s="627"/>
      <c r="O9" s="627"/>
      <c r="P9" s="627"/>
      <c r="Q9" s="627"/>
      <c r="R9" s="1225"/>
      <c r="S9" s="625">
        <f t="shared" si="5"/>
        <v>0</v>
      </c>
      <c r="T9" s="625">
        <f t="shared" si="0"/>
        <v>0</v>
      </c>
      <c r="U9" s="152"/>
      <c r="V9" s="152"/>
      <c r="W9" s="152"/>
      <c r="X9" s="152"/>
      <c r="Y9" s="152"/>
      <c r="Z9" s="152"/>
      <c r="AA9" s="151">
        <v>0</v>
      </c>
      <c r="AB9" s="151">
        <f t="shared" ref="AB9:AB12" si="12">+Z9*E9</f>
        <v>0</v>
      </c>
      <c r="AC9" s="659" t="s">
        <v>1850</v>
      </c>
      <c r="AD9" s="1087" t="s">
        <v>1893</v>
      </c>
      <c r="AE9" s="143"/>
      <c r="AF9" s="1087" t="s">
        <v>2297</v>
      </c>
      <c r="AG9" s="1087" t="s">
        <v>2412</v>
      </c>
      <c r="AH9" s="1087" t="s">
        <v>2448</v>
      </c>
      <c r="AI9" s="1087" t="s">
        <v>2568</v>
      </c>
    </row>
    <row r="10" spans="1:113" ht="150" customHeight="1" thickBot="1" x14ac:dyDescent="0.45">
      <c r="A10" s="140"/>
      <c r="B10" s="1015" t="s">
        <v>1076</v>
      </c>
      <c r="C10" s="1016" t="s">
        <v>1077</v>
      </c>
      <c r="D10" s="158" t="s">
        <v>1071</v>
      </c>
      <c r="E10" s="110">
        <v>0.1</v>
      </c>
      <c r="F10" s="150">
        <v>1</v>
      </c>
      <c r="G10" s="161">
        <v>0</v>
      </c>
      <c r="H10" s="161">
        <v>0</v>
      </c>
      <c r="I10" s="151"/>
      <c r="J10" s="151"/>
      <c r="K10" s="151"/>
      <c r="L10" s="151"/>
      <c r="M10" s="161"/>
      <c r="N10" s="627"/>
      <c r="O10" s="627"/>
      <c r="P10" s="627"/>
      <c r="Q10" s="627"/>
      <c r="R10" s="1225"/>
      <c r="S10" s="625">
        <f t="shared" si="5"/>
        <v>0</v>
      </c>
      <c r="T10" s="625">
        <f t="shared" si="0"/>
        <v>0</v>
      </c>
      <c r="U10" s="152"/>
      <c r="V10" s="152"/>
      <c r="W10" s="152"/>
      <c r="X10" s="152"/>
      <c r="Y10" s="152"/>
      <c r="Z10" s="152"/>
      <c r="AA10" s="151">
        <v>0</v>
      </c>
      <c r="AB10" s="151">
        <f t="shared" si="12"/>
        <v>0</v>
      </c>
      <c r="AC10" s="659" t="s">
        <v>1850</v>
      </c>
      <c r="AD10" s="1087" t="s">
        <v>1893</v>
      </c>
      <c r="AE10" s="143"/>
      <c r="AF10" s="1126" t="s">
        <v>2323</v>
      </c>
      <c r="AG10" s="1087" t="s">
        <v>2412</v>
      </c>
      <c r="AH10" s="1087" t="s">
        <v>2448</v>
      </c>
      <c r="AI10" s="1087" t="s">
        <v>2568</v>
      </c>
    </row>
    <row r="11" spans="1:113" ht="136.94999999999999" customHeight="1" thickBot="1" x14ac:dyDescent="0.45">
      <c r="A11" s="140"/>
      <c r="B11" s="1015" t="s">
        <v>1078</v>
      </c>
      <c r="C11" s="1016" t="s">
        <v>1079</v>
      </c>
      <c r="D11" s="158" t="s">
        <v>1071</v>
      </c>
      <c r="E11" s="110">
        <v>0.12</v>
      </c>
      <c r="F11" s="150">
        <v>4</v>
      </c>
      <c r="G11" s="161">
        <v>1</v>
      </c>
      <c r="H11" s="161">
        <v>0</v>
      </c>
      <c r="I11" s="151">
        <f t="shared" si="2"/>
        <v>0.25</v>
      </c>
      <c r="J11" s="151"/>
      <c r="K11" s="151">
        <f t="shared" si="4"/>
        <v>0.03</v>
      </c>
      <c r="L11" s="151"/>
      <c r="M11" s="161">
        <v>0</v>
      </c>
      <c r="N11" s="627"/>
      <c r="O11" s="627"/>
      <c r="P11" s="627"/>
      <c r="Q11" s="627"/>
      <c r="R11" s="1225"/>
      <c r="S11" s="625">
        <f t="shared" si="5"/>
        <v>0</v>
      </c>
      <c r="T11" s="625">
        <f t="shared" si="0"/>
        <v>0</v>
      </c>
      <c r="U11" s="152">
        <f t="shared" si="9"/>
        <v>0</v>
      </c>
      <c r="V11" s="152"/>
      <c r="W11" s="152">
        <f t="shared" si="6"/>
        <v>0</v>
      </c>
      <c r="X11" s="152"/>
      <c r="Y11" s="152">
        <f t="shared" si="7"/>
        <v>0</v>
      </c>
      <c r="Z11" s="152">
        <f t="shared" si="1"/>
        <v>0</v>
      </c>
      <c r="AA11" s="151">
        <f t="shared" si="8"/>
        <v>0</v>
      </c>
      <c r="AB11" s="151">
        <f t="shared" si="12"/>
        <v>0</v>
      </c>
      <c r="AC11" s="659" t="s">
        <v>1850</v>
      </c>
      <c r="AD11" s="1087" t="s">
        <v>1893</v>
      </c>
      <c r="AE11" s="143"/>
      <c r="AF11" s="1087" t="s">
        <v>2297</v>
      </c>
      <c r="AG11" s="1087" t="s">
        <v>2412</v>
      </c>
      <c r="AH11" s="1087" t="s">
        <v>2448</v>
      </c>
      <c r="AI11" s="1087" t="s">
        <v>2568</v>
      </c>
    </row>
    <row r="12" spans="1:113" ht="136.94999999999999" customHeight="1" thickBot="1" x14ac:dyDescent="0.45">
      <c r="A12" s="140"/>
      <c r="B12" s="1015" t="s">
        <v>1080</v>
      </c>
      <c r="C12" s="1016" t="s">
        <v>1081</v>
      </c>
      <c r="D12" s="158" t="s">
        <v>1071</v>
      </c>
      <c r="E12" s="110">
        <v>0.12</v>
      </c>
      <c r="F12" s="150">
        <v>6</v>
      </c>
      <c r="G12" s="161">
        <v>0</v>
      </c>
      <c r="H12" s="161">
        <v>0</v>
      </c>
      <c r="I12" s="151"/>
      <c r="J12" s="151">
        <f t="shared" si="3"/>
        <v>0</v>
      </c>
      <c r="K12" s="151"/>
      <c r="L12" s="151">
        <f t="shared" ref="L12:L29" si="13">+(H12/F12)*E12</f>
        <v>0</v>
      </c>
      <c r="M12" s="161"/>
      <c r="N12" s="627"/>
      <c r="O12" s="627"/>
      <c r="P12" s="627"/>
      <c r="Q12" s="627"/>
      <c r="R12" s="1225"/>
      <c r="S12" s="625">
        <f t="shared" si="5"/>
        <v>0</v>
      </c>
      <c r="T12" s="625">
        <f t="shared" si="0"/>
        <v>0</v>
      </c>
      <c r="U12" s="151"/>
      <c r="V12" s="151"/>
      <c r="W12" s="151"/>
      <c r="X12" s="151"/>
      <c r="Y12" s="151"/>
      <c r="Z12" s="151"/>
      <c r="AA12" s="151"/>
      <c r="AB12" s="151">
        <f t="shared" si="12"/>
        <v>0</v>
      </c>
      <c r="AC12" s="659" t="s">
        <v>1850</v>
      </c>
      <c r="AD12" s="1087" t="s">
        <v>1893</v>
      </c>
      <c r="AE12" s="143"/>
      <c r="AF12" s="1087" t="s">
        <v>2297</v>
      </c>
      <c r="AG12" s="1087" t="s">
        <v>2412</v>
      </c>
      <c r="AH12" s="1087" t="s">
        <v>2448</v>
      </c>
      <c r="AI12" s="1087" t="s">
        <v>2568</v>
      </c>
    </row>
    <row r="13" spans="1:113" ht="184.95" customHeight="1" thickBot="1" x14ac:dyDescent="0.45">
      <c r="A13" s="140"/>
      <c r="B13" s="141" t="s">
        <v>1082</v>
      </c>
      <c r="C13" s="155" t="s">
        <v>1083</v>
      </c>
      <c r="D13" s="158" t="s">
        <v>1071</v>
      </c>
      <c r="E13" s="110">
        <v>0.06</v>
      </c>
      <c r="F13" s="150">
        <v>33</v>
      </c>
      <c r="G13" s="161">
        <v>6.6</v>
      </c>
      <c r="H13" s="161">
        <v>8.25</v>
      </c>
      <c r="I13" s="151">
        <f t="shared" si="2"/>
        <v>0.19999999999999998</v>
      </c>
      <c r="J13" s="151">
        <f t="shared" si="3"/>
        <v>0.25</v>
      </c>
      <c r="K13" s="151">
        <f t="shared" si="4"/>
        <v>1.1999999999999999E-2</v>
      </c>
      <c r="L13" s="151">
        <f t="shared" si="13"/>
        <v>1.4999999999999999E-2</v>
      </c>
      <c r="M13" s="161">
        <v>6.6</v>
      </c>
      <c r="N13" s="627">
        <v>0</v>
      </c>
      <c r="O13" s="1276">
        <v>0.1</v>
      </c>
      <c r="P13" s="627">
        <v>0.04</v>
      </c>
      <c r="Q13" s="161"/>
      <c r="R13" s="1225"/>
      <c r="S13" s="625">
        <f t="shared" si="5"/>
        <v>0.14000000000000001</v>
      </c>
      <c r="T13" s="625">
        <f t="shared" si="0"/>
        <v>6.7399999999999993</v>
      </c>
      <c r="U13" s="151">
        <f t="shared" si="9"/>
        <v>1</v>
      </c>
      <c r="V13" s="151">
        <f t="shared" si="10"/>
        <v>1.6969696969696971E-2</v>
      </c>
      <c r="W13" s="151">
        <f t="shared" si="6"/>
        <v>0.06</v>
      </c>
      <c r="X13" s="151">
        <f t="shared" si="11"/>
        <v>1.0181818181818183E-3</v>
      </c>
      <c r="Y13" s="151">
        <f t="shared" si="7"/>
        <v>0.19999999999999998</v>
      </c>
      <c r="Z13" s="151">
        <f t="shared" si="1"/>
        <v>0.20424242424242423</v>
      </c>
      <c r="AA13" s="151">
        <f t="shared" si="8"/>
        <v>1.1999999999999999E-2</v>
      </c>
      <c r="AB13" s="151">
        <f>+Z13*E13</f>
        <v>1.2254545454545454E-2</v>
      </c>
      <c r="AC13" s="659" t="s">
        <v>1850</v>
      </c>
      <c r="AD13" s="1126" t="s">
        <v>1917</v>
      </c>
      <c r="AE13" s="143"/>
      <c r="AF13" s="1126" t="s">
        <v>2324</v>
      </c>
      <c r="AG13" s="1126" t="s">
        <v>2324</v>
      </c>
      <c r="AH13" s="1126" t="s">
        <v>1977</v>
      </c>
      <c r="AI13" s="1126" t="s">
        <v>2482</v>
      </c>
    </row>
    <row r="14" spans="1:113" ht="84" customHeight="1" thickBot="1" x14ac:dyDescent="0.45">
      <c r="A14" s="140"/>
      <c r="B14" s="1341" t="s">
        <v>1783</v>
      </c>
      <c r="C14" s="1342"/>
      <c r="D14" s="158"/>
      <c r="E14" s="109">
        <v>0.4</v>
      </c>
      <c r="F14" s="150"/>
      <c r="G14" s="161"/>
      <c r="H14" s="161"/>
      <c r="I14" s="148">
        <f>+AVERAGE(I15:I21)</f>
        <v>0.25</v>
      </c>
      <c r="J14" s="148">
        <f>+AVERAGE(J15:J21)</f>
        <v>9.6428571428571433E-2</v>
      </c>
      <c r="K14" s="148">
        <f>+K15+K16+K17+K18+K19+K20+K21</f>
        <v>3.7500000000000006E-2</v>
      </c>
      <c r="L14" s="148">
        <f>+L15+L16+L17+L18+L19+L20+L21</f>
        <v>0.1075</v>
      </c>
      <c r="M14" s="149"/>
      <c r="N14" s="149"/>
      <c r="O14" s="149"/>
      <c r="P14" s="149"/>
      <c r="Q14" s="149"/>
      <c r="R14" s="1226"/>
      <c r="S14" s="149"/>
      <c r="T14" s="149"/>
      <c r="U14" s="626">
        <f>+AVERAGE(U15:U21)</f>
        <v>0</v>
      </c>
      <c r="V14" s="626">
        <f>+AVERAGE(V15:V21)</f>
        <v>1</v>
      </c>
      <c r="W14" s="626">
        <f>+(W15+W16+W17+W18+W19+W20+W21)*E14</f>
        <v>0</v>
      </c>
      <c r="X14" s="626">
        <f>+(X15+X16+X17+X18+X19+X20+X21)*E14</f>
        <v>0.22000000000000003</v>
      </c>
      <c r="Y14" s="148">
        <f>+AVERAGE(Y15:Y21)</f>
        <v>0</v>
      </c>
      <c r="Z14" s="148">
        <f>+AVERAGE(Z15:Z21)</f>
        <v>0.40487012987012988</v>
      </c>
      <c r="AA14" s="148">
        <f>+(AA15+AA16+AA17+AA18+AA19+AA20+AA21)*E14</f>
        <v>0</v>
      </c>
      <c r="AB14" s="148">
        <f>+(AB15+AB16+AB17+AB18+AB19+AB20+AB21)</f>
        <v>0.25522727272727275</v>
      </c>
      <c r="AC14" s="1123"/>
      <c r="AD14" s="143"/>
      <c r="AE14" s="143"/>
      <c r="AF14" s="143"/>
      <c r="AG14" s="143"/>
      <c r="AH14" s="143"/>
      <c r="AI14" s="142"/>
    </row>
    <row r="15" spans="1:113" ht="116.4" customHeight="1" thickBot="1" x14ac:dyDescent="0.45">
      <c r="A15" s="140"/>
      <c r="B15" s="1017" t="s">
        <v>1084</v>
      </c>
      <c r="C15" s="1018" t="s">
        <v>1085</v>
      </c>
      <c r="D15" s="926" t="s">
        <v>162</v>
      </c>
      <c r="E15" s="156">
        <v>0.05</v>
      </c>
      <c r="F15" s="150">
        <v>4</v>
      </c>
      <c r="G15" s="161">
        <v>0</v>
      </c>
      <c r="H15" s="161"/>
      <c r="I15" s="151"/>
      <c r="J15" s="151">
        <f t="shared" si="3"/>
        <v>0</v>
      </c>
      <c r="K15" s="151"/>
      <c r="L15" s="151">
        <f t="shared" si="13"/>
        <v>0</v>
      </c>
      <c r="M15" s="161"/>
      <c r="N15" s="627"/>
      <c r="O15" s="627"/>
      <c r="P15" s="627"/>
      <c r="Q15" s="627"/>
      <c r="R15" s="627"/>
      <c r="S15" s="625">
        <f t="shared" si="5"/>
        <v>0</v>
      </c>
      <c r="T15" s="625">
        <v>4</v>
      </c>
      <c r="U15" s="151"/>
      <c r="V15" s="151"/>
      <c r="W15" s="151"/>
      <c r="X15" s="151">
        <f t="shared" si="11"/>
        <v>0</v>
      </c>
      <c r="Y15" s="151"/>
      <c r="Z15" s="151">
        <f t="shared" ref="Z15:Z21" si="14">+T15/F15</f>
        <v>1</v>
      </c>
      <c r="AA15" s="151"/>
      <c r="AB15" s="151">
        <f>+Z15*E15</f>
        <v>0.05</v>
      </c>
      <c r="AC15" s="1124" t="s">
        <v>1863</v>
      </c>
      <c r="AD15" s="1126" t="s">
        <v>1865</v>
      </c>
      <c r="AE15" s="1126" t="s">
        <v>1865</v>
      </c>
      <c r="AF15" s="1087" t="s">
        <v>2333</v>
      </c>
      <c r="AG15" s="1087" t="s">
        <v>2333</v>
      </c>
      <c r="AH15" s="1087" t="s">
        <v>2333</v>
      </c>
      <c r="AI15" s="1087" t="s">
        <v>2568</v>
      </c>
    </row>
    <row r="16" spans="1:113" ht="133.19999999999999" customHeight="1" thickBot="1" x14ac:dyDescent="0.45">
      <c r="A16" s="140"/>
      <c r="B16" s="141" t="s">
        <v>1086</v>
      </c>
      <c r="C16" s="155" t="s">
        <v>1087</v>
      </c>
      <c r="D16" s="926" t="s">
        <v>162</v>
      </c>
      <c r="E16" s="156">
        <v>0.05</v>
      </c>
      <c r="F16" s="150">
        <v>1</v>
      </c>
      <c r="G16" s="161">
        <v>0</v>
      </c>
      <c r="H16" s="161"/>
      <c r="I16" s="151"/>
      <c r="J16" s="151">
        <f t="shared" si="3"/>
        <v>0</v>
      </c>
      <c r="K16" s="151"/>
      <c r="L16" s="151">
        <f t="shared" si="13"/>
        <v>0</v>
      </c>
      <c r="M16" s="161"/>
      <c r="N16" s="627"/>
      <c r="O16" s="161"/>
      <c r="P16" s="161"/>
      <c r="Q16" s="161"/>
      <c r="R16" s="1225"/>
      <c r="S16" s="625">
        <f t="shared" si="5"/>
        <v>0</v>
      </c>
      <c r="T16" s="625">
        <f t="shared" ref="T16:T21" si="15">+S16+M16</f>
        <v>0</v>
      </c>
      <c r="U16" s="151"/>
      <c r="V16" s="151"/>
      <c r="W16" s="151"/>
      <c r="X16" s="151">
        <f t="shared" si="11"/>
        <v>0</v>
      </c>
      <c r="Y16" s="151"/>
      <c r="Z16" s="151">
        <f t="shared" si="14"/>
        <v>0</v>
      </c>
      <c r="AA16" s="151"/>
      <c r="AB16" s="151">
        <f t="shared" ref="AB16" si="16">+Z16*E16</f>
        <v>0</v>
      </c>
      <c r="AC16" s="1124" t="s">
        <v>1863</v>
      </c>
      <c r="AD16" s="1126" t="s">
        <v>1865</v>
      </c>
      <c r="AE16" s="143"/>
      <c r="AF16" s="1126" t="s">
        <v>2327</v>
      </c>
      <c r="AG16" s="1126" t="s">
        <v>2327</v>
      </c>
      <c r="AH16" s="1126" t="s">
        <v>2327</v>
      </c>
      <c r="AI16" s="142"/>
    </row>
    <row r="17" spans="1:35" ht="109.95" customHeight="1" thickBot="1" x14ac:dyDescent="0.45">
      <c r="A17" s="140"/>
      <c r="B17" s="1015" t="s">
        <v>1088</v>
      </c>
      <c r="C17" s="1016" t="s">
        <v>1089</v>
      </c>
      <c r="D17" s="158" t="s">
        <v>620</v>
      </c>
      <c r="E17" s="110">
        <v>0.05</v>
      </c>
      <c r="F17" s="150">
        <v>4</v>
      </c>
      <c r="G17" s="161">
        <v>1</v>
      </c>
      <c r="H17" s="161">
        <v>1</v>
      </c>
      <c r="I17" s="151">
        <f>+G17/F17</f>
        <v>0.25</v>
      </c>
      <c r="J17" s="151">
        <f t="shared" si="3"/>
        <v>0.25</v>
      </c>
      <c r="K17" s="151">
        <f>+(G17/F17)*E17</f>
        <v>1.2500000000000001E-2</v>
      </c>
      <c r="L17" s="151">
        <f t="shared" si="13"/>
        <v>1.2500000000000001E-2</v>
      </c>
      <c r="M17" s="161">
        <v>0</v>
      </c>
      <c r="N17" s="627">
        <v>0</v>
      </c>
      <c r="O17" s="627">
        <v>1</v>
      </c>
      <c r="P17" s="627">
        <v>0</v>
      </c>
      <c r="Q17" s="627">
        <v>0</v>
      </c>
      <c r="R17" s="627">
        <v>0</v>
      </c>
      <c r="S17" s="625">
        <f t="shared" si="5"/>
        <v>1</v>
      </c>
      <c r="T17" s="625">
        <f t="shared" si="15"/>
        <v>1</v>
      </c>
      <c r="U17" s="151">
        <f>+(M17/G17)</f>
        <v>0</v>
      </c>
      <c r="V17" s="151">
        <f t="shared" ref="V17:V21" si="17">+S17/H17</f>
        <v>1</v>
      </c>
      <c r="W17" s="151">
        <f>+U17*E17</f>
        <v>0</v>
      </c>
      <c r="X17" s="151">
        <f t="shared" si="11"/>
        <v>0.05</v>
      </c>
      <c r="Y17" s="151">
        <f>+M17/F17</f>
        <v>0</v>
      </c>
      <c r="Z17" s="151">
        <f t="shared" si="14"/>
        <v>0.25</v>
      </c>
      <c r="AA17" s="151">
        <f>+Y17*E17</f>
        <v>0</v>
      </c>
      <c r="AB17" s="151">
        <f>+Z17*E17</f>
        <v>1.2500000000000001E-2</v>
      </c>
      <c r="AC17" s="659" t="s">
        <v>1850</v>
      </c>
      <c r="AD17" s="1087" t="s">
        <v>1893</v>
      </c>
      <c r="AE17" s="1087" t="s">
        <v>2278</v>
      </c>
      <c r="AF17" s="1087" t="s">
        <v>2297</v>
      </c>
      <c r="AG17" s="1087" t="s">
        <v>2412</v>
      </c>
      <c r="AH17" s="1087" t="s">
        <v>2447</v>
      </c>
      <c r="AI17" s="1087" t="s">
        <v>2564</v>
      </c>
    </row>
    <row r="18" spans="1:35" ht="133.19999999999999" customHeight="1" thickBot="1" x14ac:dyDescent="0.45">
      <c r="A18" s="140"/>
      <c r="B18" s="1015" t="s">
        <v>1090</v>
      </c>
      <c r="C18" s="1016" t="s">
        <v>1091</v>
      </c>
      <c r="D18" s="158" t="s">
        <v>620</v>
      </c>
      <c r="E18" s="110">
        <v>0.1</v>
      </c>
      <c r="F18" s="150">
        <v>4</v>
      </c>
      <c r="G18" s="161">
        <v>1</v>
      </c>
      <c r="H18" s="161">
        <v>1</v>
      </c>
      <c r="I18" s="151">
        <f>+G18/F18</f>
        <v>0.25</v>
      </c>
      <c r="J18" s="151">
        <f t="shared" si="3"/>
        <v>0.25</v>
      </c>
      <c r="K18" s="151">
        <f>+(G18/F18)*E18</f>
        <v>2.5000000000000001E-2</v>
      </c>
      <c r="L18" s="151">
        <f t="shared" si="13"/>
        <v>2.5000000000000001E-2</v>
      </c>
      <c r="M18" s="161">
        <v>0</v>
      </c>
      <c r="N18" s="627">
        <v>0</v>
      </c>
      <c r="O18" s="627">
        <v>0</v>
      </c>
      <c r="P18" s="627">
        <v>0</v>
      </c>
      <c r="Q18" s="627">
        <v>1</v>
      </c>
      <c r="R18" s="627">
        <v>0</v>
      </c>
      <c r="S18" s="625">
        <f t="shared" si="5"/>
        <v>1</v>
      </c>
      <c r="T18" s="625">
        <f t="shared" si="15"/>
        <v>1</v>
      </c>
      <c r="U18" s="151">
        <f>+(M18/G18)</f>
        <v>0</v>
      </c>
      <c r="V18" s="151">
        <f t="shared" si="17"/>
        <v>1</v>
      </c>
      <c r="W18" s="151">
        <f>+U18*E18</f>
        <v>0</v>
      </c>
      <c r="X18" s="151">
        <f t="shared" si="11"/>
        <v>0.1</v>
      </c>
      <c r="Y18" s="151">
        <f>+M18/F18</f>
        <v>0</v>
      </c>
      <c r="Z18" s="151">
        <f t="shared" si="14"/>
        <v>0.25</v>
      </c>
      <c r="AA18" s="151">
        <f>+Y18*E18</f>
        <v>0</v>
      </c>
      <c r="AB18" s="151">
        <f>+Z18*E18</f>
        <v>2.5000000000000001E-2</v>
      </c>
      <c r="AC18" s="659" t="s">
        <v>1850</v>
      </c>
      <c r="AD18" s="1087" t="s">
        <v>1893</v>
      </c>
      <c r="AE18" s="1087" t="s">
        <v>2278</v>
      </c>
      <c r="AF18" s="1087" t="s">
        <v>2297</v>
      </c>
      <c r="AG18" s="1087" t="s">
        <v>2412</v>
      </c>
      <c r="AH18" s="1087" t="s">
        <v>2447</v>
      </c>
      <c r="AI18" s="1087" t="s">
        <v>2564</v>
      </c>
    </row>
    <row r="19" spans="1:35" ht="175.2" customHeight="1" thickBot="1" x14ac:dyDescent="0.45">
      <c r="A19" s="140"/>
      <c r="B19" s="1015" t="s">
        <v>1092</v>
      </c>
      <c r="C19" s="1016" t="s">
        <v>1093</v>
      </c>
      <c r="D19" s="158" t="s">
        <v>707</v>
      </c>
      <c r="E19" s="110">
        <v>0.05</v>
      </c>
      <c r="F19" s="150">
        <v>1</v>
      </c>
      <c r="G19" s="161">
        <v>0</v>
      </c>
      <c r="H19" s="161">
        <v>0</v>
      </c>
      <c r="I19" s="151"/>
      <c r="J19" s="151">
        <f t="shared" si="3"/>
        <v>0</v>
      </c>
      <c r="K19" s="151"/>
      <c r="L19" s="151">
        <f t="shared" si="13"/>
        <v>0</v>
      </c>
      <c r="M19" s="161"/>
      <c r="N19" s="627"/>
      <c r="O19" s="627"/>
      <c r="P19" s="627"/>
      <c r="Q19" s="627"/>
      <c r="R19" s="1272">
        <v>1</v>
      </c>
      <c r="S19" s="625">
        <f t="shared" si="5"/>
        <v>1</v>
      </c>
      <c r="T19" s="625">
        <f t="shared" si="15"/>
        <v>1</v>
      </c>
      <c r="U19" s="151"/>
      <c r="V19" s="151"/>
      <c r="W19" s="151"/>
      <c r="X19" s="152">
        <f t="shared" si="11"/>
        <v>0</v>
      </c>
      <c r="Y19" s="152"/>
      <c r="Z19" s="152">
        <f t="shared" si="14"/>
        <v>1</v>
      </c>
      <c r="AA19" s="152"/>
      <c r="AB19" s="152">
        <f t="shared" ref="AB19:AB21" si="18">+Z19*E19</f>
        <v>0.05</v>
      </c>
      <c r="AC19" s="659" t="s">
        <v>1850</v>
      </c>
      <c r="AD19" s="1126" t="s">
        <v>1914</v>
      </c>
      <c r="AE19" s="143"/>
      <c r="AF19" s="1127" t="s">
        <v>2309</v>
      </c>
      <c r="AG19" s="1087" t="s">
        <v>2412</v>
      </c>
      <c r="AH19" s="1087" t="s">
        <v>2447</v>
      </c>
      <c r="AI19" s="1087" t="s">
        <v>2564</v>
      </c>
    </row>
    <row r="20" spans="1:35" ht="137.4" customHeight="1" thickBot="1" x14ac:dyDescent="0.45">
      <c r="A20" s="140"/>
      <c r="B20" s="1015" t="s">
        <v>1094</v>
      </c>
      <c r="C20" s="1016" t="s">
        <v>1095</v>
      </c>
      <c r="D20" s="158" t="s">
        <v>707</v>
      </c>
      <c r="E20" s="110">
        <v>0.3</v>
      </c>
      <c r="F20" s="150">
        <v>396</v>
      </c>
      <c r="G20" s="161">
        <v>0</v>
      </c>
      <c r="H20" s="161">
        <v>0</v>
      </c>
      <c r="I20" s="151"/>
      <c r="J20" s="151">
        <f t="shared" si="3"/>
        <v>0</v>
      </c>
      <c r="K20" s="151"/>
      <c r="L20" s="151">
        <f t="shared" si="13"/>
        <v>0</v>
      </c>
      <c r="M20" s="161"/>
      <c r="N20" s="627"/>
      <c r="O20" s="627"/>
      <c r="P20" s="627"/>
      <c r="Q20" s="627">
        <v>63</v>
      </c>
      <c r="R20" s="627"/>
      <c r="S20" s="625">
        <f t="shared" si="5"/>
        <v>63</v>
      </c>
      <c r="T20" s="625">
        <f t="shared" si="15"/>
        <v>63</v>
      </c>
      <c r="U20" s="151"/>
      <c r="V20" s="151"/>
      <c r="W20" s="151"/>
      <c r="X20" s="152">
        <f t="shared" si="11"/>
        <v>0</v>
      </c>
      <c r="Y20" s="152"/>
      <c r="Z20" s="152">
        <f t="shared" si="14"/>
        <v>0.15909090909090909</v>
      </c>
      <c r="AA20" s="152"/>
      <c r="AB20" s="152">
        <f t="shared" si="18"/>
        <v>4.7727272727272722E-2</v>
      </c>
      <c r="AC20" s="659" t="s">
        <v>1850</v>
      </c>
      <c r="AD20" s="1126" t="s">
        <v>1914</v>
      </c>
      <c r="AE20" s="143"/>
      <c r="AF20" s="1127" t="s">
        <v>2309</v>
      </c>
      <c r="AG20" s="1087" t="s">
        <v>2412</v>
      </c>
      <c r="AH20" s="1087" t="s">
        <v>2447</v>
      </c>
      <c r="AI20" s="1087" t="s">
        <v>2564</v>
      </c>
    </row>
    <row r="21" spans="1:35" ht="118.2" customHeight="1" thickBot="1" x14ac:dyDescent="0.45">
      <c r="A21" s="140"/>
      <c r="B21" s="1017" t="s">
        <v>1096</v>
      </c>
      <c r="C21" s="1018" t="s">
        <v>1097</v>
      </c>
      <c r="D21" s="158" t="s">
        <v>551</v>
      </c>
      <c r="E21" s="110">
        <v>0.4</v>
      </c>
      <c r="F21" s="150">
        <f>450*4</f>
        <v>1800</v>
      </c>
      <c r="G21" s="161">
        <v>0</v>
      </c>
      <c r="H21" s="161">
        <v>315</v>
      </c>
      <c r="I21" s="151"/>
      <c r="J21" s="151">
        <f t="shared" si="3"/>
        <v>0.17499999999999999</v>
      </c>
      <c r="K21" s="151"/>
      <c r="L21" s="151">
        <f t="shared" si="13"/>
        <v>6.9999999999999993E-2</v>
      </c>
      <c r="M21" s="161"/>
      <c r="N21" s="627"/>
      <c r="O21" s="627">
        <v>275</v>
      </c>
      <c r="P21" s="627">
        <v>40</v>
      </c>
      <c r="Q21" s="627">
        <v>0</v>
      </c>
      <c r="R21" s="627">
        <v>0</v>
      </c>
      <c r="S21" s="625">
        <f t="shared" si="5"/>
        <v>315</v>
      </c>
      <c r="T21" s="625">
        <f t="shared" si="15"/>
        <v>315</v>
      </c>
      <c r="U21" s="151"/>
      <c r="V21" s="152">
        <f t="shared" si="17"/>
        <v>1</v>
      </c>
      <c r="W21" s="151"/>
      <c r="X21" s="151">
        <f t="shared" si="11"/>
        <v>0.4</v>
      </c>
      <c r="Y21" s="151"/>
      <c r="Z21" s="152">
        <f t="shared" si="14"/>
        <v>0.17499999999999999</v>
      </c>
      <c r="AA21" s="151"/>
      <c r="AB21" s="151">
        <f t="shared" si="18"/>
        <v>6.9999999999999993E-2</v>
      </c>
      <c r="AC21" s="665" t="s">
        <v>1580</v>
      </c>
      <c r="AD21" s="1126" t="s">
        <v>1920</v>
      </c>
      <c r="AE21" s="1087" t="s">
        <v>2278</v>
      </c>
      <c r="AF21" s="1087" t="s">
        <v>2297</v>
      </c>
      <c r="AG21" s="1087" t="s">
        <v>2358</v>
      </c>
      <c r="AH21" s="1087" t="s">
        <v>2447</v>
      </c>
      <c r="AI21" s="1087" t="s">
        <v>2564</v>
      </c>
    </row>
    <row r="22" spans="1:35" ht="75" customHeight="1" thickBot="1" x14ac:dyDescent="0.45">
      <c r="A22" s="140"/>
      <c r="B22" s="1341" t="s">
        <v>1784</v>
      </c>
      <c r="C22" s="1342"/>
      <c r="D22" s="158"/>
      <c r="E22" s="109">
        <v>0.2</v>
      </c>
      <c r="F22" s="150"/>
      <c r="G22" s="161"/>
      <c r="H22" s="161"/>
      <c r="I22" s="148">
        <f>+AVERAGE(I23:I29)</f>
        <v>0.4</v>
      </c>
      <c r="J22" s="148">
        <f>+AVERAGE(J23:J29)</f>
        <v>0.33214285714285718</v>
      </c>
      <c r="K22" s="148">
        <f>+K23+K24+K25+K26+K27+K28+K29</f>
        <v>4.0000000000000008E-2</v>
      </c>
      <c r="L22" s="148">
        <f>+L23+L24+L25+L26+L27+L28+L29</f>
        <v>0.32625000000000004</v>
      </c>
      <c r="M22" s="149"/>
      <c r="N22" s="149"/>
      <c r="O22" s="149"/>
      <c r="P22" s="149"/>
      <c r="Q22" s="149"/>
      <c r="R22" s="1226"/>
      <c r="S22" s="149"/>
      <c r="T22" s="149"/>
      <c r="U22" s="626">
        <f>+AVERAGE(U23:U29)</f>
        <v>1</v>
      </c>
      <c r="V22" s="626">
        <f>+AVERAGE(V23:V29)</f>
        <v>0.83750000000000002</v>
      </c>
      <c r="W22" s="626">
        <f>+(W23+W24+W25+W26+W27+W28+W29)*E22</f>
        <v>2.0000000000000004E-2</v>
      </c>
      <c r="X22" s="626">
        <f>+(X23+X24+X25+X26+X27+X28+X29)*E22</f>
        <v>7.9000000000000015E-2</v>
      </c>
      <c r="Y22" s="148">
        <f>+AVERAGE(Y23:Y29)*(1/7)</f>
        <v>5.7142857142857141E-2</v>
      </c>
      <c r="Z22" s="148">
        <f>+Y22+((Z23-Y23)/7)+((Z25-Y25)/7)+((Z26-Y26)/7)</f>
        <v>0.35</v>
      </c>
      <c r="AA22" s="148">
        <f>+(AA23+AA24+AA25+AA26+AA27+AA28+AA29)*E22</f>
        <v>8.0000000000000019E-3</v>
      </c>
      <c r="AB22" s="148">
        <f>+(AB23+AB24+AB25+AB26+AB27+AB28+AB29)</f>
        <v>0.54249999999999998</v>
      </c>
      <c r="AC22" s="1123"/>
      <c r="AD22" s="143"/>
      <c r="AE22" s="143"/>
      <c r="AF22" s="143"/>
      <c r="AG22" s="143"/>
      <c r="AH22" s="143"/>
      <c r="AI22" s="142"/>
    </row>
    <row r="23" spans="1:35" ht="139.94999999999999" customHeight="1" thickBot="1" x14ac:dyDescent="0.45">
      <c r="A23" s="140"/>
      <c r="B23" s="1017" t="s">
        <v>1098</v>
      </c>
      <c r="C23" s="1018" t="s">
        <v>1099</v>
      </c>
      <c r="D23" s="158" t="s">
        <v>560</v>
      </c>
      <c r="E23" s="110">
        <v>0.1</v>
      </c>
      <c r="F23" s="150">
        <v>5</v>
      </c>
      <c r="G23" s="161">
        <v>2</v>
      </c>
      <c r="H23" s="161">
        <v>1</v>
      </c>
      <c r="I23" s="151">
        <f>+G23/F23</f>
        <v>0.4</v>
      </c>
      <c r="J23" s="151">
        <f t="shared" si="3"/>
        <v>0.2</v>
      </c>
      <c r="K23" s="151">
        <f>+(G23/F23)*E23</f>
        <v>4.0000000000000008E-2</v>
      </c>
      <c r="L23" s="151">
        <f t="shared" si="13"/>
        <v>2.0000000000000004E-2</v>
      </c>
      <c r="M23" s="161">
        <v>2</v>
      </c>
      <c r="N23" s="627">
        <v>0</v>
      </c>
      <c r="O23" s="627">
        <v>1</v>
      </c>
      <c r="P23" s="627">
        <v>0</v>
      </c>
      <c r="Q23" s="627"/>
      <c r="R23" s="627"/>
      <c r="S23" s="625">
        <f t="shared" si="5"/>
        <v>1</v>
      </c>
      <c r="T23" s="625">
        <f t="shared" ref="T23:T29" si="19">+S23+M23</f>
        <v>3</v>
      </c>
      <c r="U23" s="151">
        <f>+(M23/G23)</f>
        <v>1</v>
      </c>
      <c r="V23" s="151">
        <f t="shared" ref="V23:V29" si="20">+S23/H23</f>
        <v>1</v>
      </c>
      <c r="W23" s="151">
        <f>+U23*E23</f>
        <v>0.1</v>
      </c>
      <c r="X23" s="151">
        <f t="shared" si="11"/>
        <v>0.1</v>
      </c>
      <c r="Y23" s="151">
        <f>+M23/F23</f>
        <v>0.4</v>
      </c>
      <c r="Z23" s="151">
        <f t="shared" ref="Z23:Z26" si="21">+T23/F23</f>
        <v>0.6</v>
      </c>
      <c r="AA23" s="151">
        <f>+Y23*E23</f>
        <v>4.0000000000000008E-2</v>
      </c>
      <c r="AB23" s="151">
        <f>+Z23*E23</f>
        <v>0.06</v>
      </c>
      <c r="AC23" s="659" t="s">
        <v>1850</v>
      </c>
      <c r="AD23" s="1127" t="s">
        <v>1893</v>
      </c>
      <c r="AE23" s="143"/>
      <c r="AF23" s="1087" t="s">
        <v>2297</v>
      </c>
      <c r="AG23" s="1087" t="s">
        <v>2412</v>
      </c>
      <c r="AH23" s="1087" t="s">
        <v>2448</v>
      </c>
      <c r="AI23" s="1087" t="s">
        <v>2568</v>
      </c>
    </row>
    <row r="24" spans="1:35" ht="139.94999999999999" customHeight="1" thickBot="1" x14ac:dyDescent="0.45">
      <c r="A24" s="140"/>
      <c r="B24" s="141" t="s">
        <v>1100</v>
      </c>
      <c r="C24" s="155" t="s">
        <v>1101</v>
      </c>
      <c r="D24" s="1074" t="s">
        <v>790</v>
      </c>
      <c r="E24" s="110">
        <v>0.15</v>
      </c>
      <c r="F24" s="150">
        <v>1</v>
      </c>
      <c r="G24" s="161">
        <v>0</v>
      </c>
      <c r="H24" s="161"/>
      <c r="I24" s="151"/>
      <c r="J24" s="151">
        <f t="shared" si="3"/>
        <v>0</v>
      </c>
      <c r="K24" s="151"/>
      <c r="L24" s="151">
        <f t="shared" si="13"/>
        <v>0</v>
      </c>
      <c r="M24" s="161"/>
      <c r="N24" s="627"/>
      <c r="O24" s="161"/>
      <c r="P24" s="161"/>
      <c r="Q24" s="161"/>
      <c r="R24" s="1225"/>
      <c r="S24" s="625">
        <f t="shared" si="5"/>
        <v>0</v>
      </c>
      <c r="T24" s="625">
        <f t="shared" si="19"/>
        <v>0</v>
      </c>
      <c r="U24" s="151"/>
      <c r="V24" s="151"/>
      <c r="W24" s="151"/>
      <c r="X24" s="151"/>
      <c r="Y24" s="151"/>
      <c r="Z24" s="151"/>
      <c r="AA24" s="151"/>
      <c r="AB24" s="151">
        <f t="shared" ref="AB24:AB29" si="22">+Z24*E24</f>
        <v>0</v>
      </c>
      <c r="AC24" s="665" t="s">
        <v>1575</v>
      </c>
      <c r="AD24" s="1126" t="s">
        <v>1865</v>
      </c>
      <c r="AE24" s="1087" t="s">
        <v>2278</v>
      </c>
      <c r="AF24" s="1126" t="s">
        <v>1865</v>
      </c>
      <c r="AG24" s="1126" t="s">
        <v>1865</v>
      </c>
      <c r="AH24" s="1126" t="s">
        <v>1865</v>
      </c>
      <c r="AI24" s="1126" t="s">
        <v>1865</v>
      </c>
    </row>
    <row r="25" spans="1:35" ht="139.94999999999999" customHeight="1" thickBot="1" x14ac:dyDescent="0.45">
      <c r="A25" s="140"/>
      <c r="B25" s="1015" t="s">
        <v>1102</v>
      </c>
      <c r="C25" s="1016" t="s">
        <v>1103</v>
      </c>
      <c r="D25" s="158" t="s">
        <v>565</v>
      </c>
      <c r="E25" s="110">
        <v>0.2</v>
      </c>
      <c r="F25" s="150">
        <v>1</v>
      </c>
      <c r="G25" s="161">
        <v>0</v>
      </c>
      <c r="H25" s="161">
        <v>1</v>
      </c>
      <c r="I25" s="151"/>
      <c r="J25" s="151">
        <f t="shared" si="3"/>
        <v>1</v>
      </c>
      <c r="K25" s="151"/>
      <c r="L25" s="151">
        <f t="shared" si="13"/>
        <v>0.2</v>
      </c>
      <c r="M25" s="161"/>
      <c r="N25" s="627">
        <v>0</v>
      </c>
      <c r="O25" s="627">
        <v>0.05</v>
      </c>
      <c r="P25" s="627">
        <v>0.45</v>
      </c>
      <c r="Q25" s="627">
        <v>0.35</v>
      </c>
      <c r="R25" s="627">
        <v>0</v>
      </c>
      <c r="S25" s="625">
        <f t="shared" si="5"/>
        <v>0.85</v>
      </c>
      <c r="T25" s="625">
        <f t="shared" si="19"/>
        <v>0.85</v>
      </c>
      <c r="U25" s="151"/>
      <c r="V25" s="152">
        <f t="shared" si="20"/>
        <v>0.85</v>
      </c>
      <c r="W25" s="152"/>
      <c r="X25" s="152">
        <f t="shared" si="11"/>
        <v>0.17</v>
      </c>
      <c r="Y25" s="152"/>
      <c r="Z25" s="152">
        <f t="shared" si="21"/>
        <v>0.85</v>
      </c>
      <c r="AA25" s="152"/>
      <c r="AB25" s="152">
        <f t="shared" si="22"/>
        <v>0.17</v>
      </c>
      <c r="AC25" s="659" t="s">
        <v>1850</v>
      </c>
      <c r="AD25" s="1126" t="s">
        <v>1920</v>
      </c>
      <c r="AE25" s="1128" t="s">
        <v>2278</v>
      </c>
      <c r="AF25" s="1087" t="s">
        <v>2297</v>
      </c>
      <c r="AG25" s="1087" t="s">
        <v>2412</v>
      </c>
      <c r="AH25" s="1087" t="s">
        <v>2447</v>
      </c>
      <c r="AI25" s="1087" t="s">
        <v>2568</v>
      </c>
    </row>
    <row r="26" spans="1:35" ht="139.94999999999999" customHeight="1" thickBot="1" x14ac:dyDescent="0.45">
      <c r="A26" s="140"/>
      <c r="B26" s="1251" t="s">
        <v>1104</v>
      </c>
      <c r="C26" s="1252" t="s">
        <v>1105</v>
      </c>
      <c r="D26" s="158" t="s">
        <v>907</v>
      </c>
      <c r="E26" s="110">
        <v>0.1</v>
      </c>
      <c r="F26" s="150">
        <v>1</v>
      </c>
      <c r="G26" s="161">
        <v>0</v>
      </c>
      <c r="H26" s="161">
        <v>1</v>
      </c>
      <c r="I26" s="151"/>
      <c r="J26" s="151">
        <f t="shared" si="3"/>
        <v>1</v>
      </c>
      <c r="K26" s="151"/>
      <c r="L26" s="151">
        <f t="shared" si="13"/>
        <v>0.1</v>
      </c>
      <c r="M26" s="161"/>
      <c r="N26" s="627">
        <v>0</v>
      </c>
      <c r="O26" s="627">
        <v>1</v>
      </c>
      <c r="P26" s="161"/>
      <c r="Q26" s="161"/>
      <c r="R26" s="1225"/>
      <c r="S26" s="625">
        <f t="shared" si="5"/>
        <v>1</v>
      </c>
      <c r="T26" s="625">
        <f t="shared" si="19"/>
        <v>1</v>
      </c>
      <c r="U26" s="151"/>
      <c r="V26" s="151">
        <f t="shared" si="20"/>
        <v>1</v>
      </c>
      <c r="W26" s="151"/>
      <c r="X26" s="151">
        <f t="shared" si="11"/>
        <v>0.1</v>
      </c>
      <c r="Y26" s="151"/>
      <c r="Z26" s="151">
        <f t="shared" si="21"/>
        <v>1</v>
      </c>
      <c r="AA26" s="151"/>
      <c r="AB26" s="151">
        <f t="shared" si="22"/>
        <v>0.1</v>
      </c>
      <c r="AC26" s="665" t="s">
        <v>1581</v>
      </c>
      <c r="AD26" s="1126" t="s">
        <v>1920</v>
      </c>
      <c r="AE26" s="143"/>
      <c r="AF26" s="1087" t="s">
        <v>1591</v>
      </c>
      <c r="AG26" s="143"/>
      <c r="AH26" s="143"/>
      <c r="AI26" s="1126" t="s">
        <v>1865</v>
      </c>
    </row>
    <row r="27" spans="1:35" ht="139.94999999999999" customHeight="1" thickBot="1" x14ac:dyDescent="0.45">
      <c r="A27" s="140"/>
      <c r="B27" s="1015" t="s">
        <v>1106</v>
      </c>
      <c r="C27" s="1016" t="s">
        <v>1107</v>
      </c>
      <c r="D27" s="162" t="s">
        <v>1108</v>
      </c>
      <c r="E27" s="110">
        <v>0.2</v>
      </c>
      <c r="F27" s="150">
        <v>1</v>
      </c>
      <c r="G27" s="161">
        <v>0</v>
      </c>
      <c r="H27" s="161"/>
      <c r="I27" s="151"/>
      <c r="J27" s="151">
        <f t="shared" si="3"/>
        <v>0</v>
      </c>
      <c r="K27" s="151"/>
      <c r="L27" s="151">
        <f t="shared" si="13"/>
        <v>0</v>
      </c>
      <c r="M27" s="161"/>
      <c r="N27" s="627"/>
      <c r="O27" s="627"/>
      <c r="P27" s="627"/>
      <c r="Q27" s="627">
        <v>1</v>
      </c>
      <c r="R27" s="627"/>
      <c r="S27" s="625">
        <f t="shared" si="5"/>
        <v>1</v>
      </c>
      <c r="T27" s="625">
        <f t="shared" si="19"/>
        <v>1</v>
      </c>
      <c r="U27" s="151"/>
      <c r="V27" s="151"/>
      <c r="W27" s="151"/>
      <c r="X27" s="152">
        <f t="shared" si="11"/>
        <v>0</v>
      </c>
      <c r="Y27" s="152"/>
      <c r="Z27" s="152">
        <f>+T27/F27</f>
        <v>1</v>
      </c>
      <c r="AA27" s="152"/>
      <c r="AB27" s="152">
        <f t="shared" si="22"/>
        <v>0.2</v>
      </c>
      <c r="AC27" s="665" t="s">
        <v>1582</v>
      </c>
      <c r="AD27" s="1126" t="s">
        <v>1865</v>
      </c>
      <c r="AE27" s="143"/>
      <c r="AF27" s="1126" t="s">
        <v>1865</v>
      </c>
      <c r="AG27" s="143"/>
      <c r="AH27" s="1087" t="s">
        <v>2448</v>
      </c>
      <c r="AI27" s="1087" t="s">
        <v>2567</v>
      </c>
    </row>
    <row r="28" spans="1:35" ht="139.94999999999999" customHeight="1" thickBot="1" x14ac:dyDescent="0.45">
      <c r="A28" s="140"/>
      <c r="B28" s="1017" t="s">
        <v>1109</v>
      </c>
      <c r="C28" s="1018" t="s">
        <v>1110</v>
      </c>
      <c r="D28" s="163" t="s">
        <v>1111</v>
      </c>
      <c r="E28" s="110">
        <v>0.2</v>
      </c>
      <c r="F28" s="150">
        <v>1</v>
      </c>
      <c r="G28" s="161">
        <v>0</v>
      </c>
      <c r="H28" s="161"/>
      <c r="I28" s="151"/>
      <c r="J28" s="151">
        <f t="shared" si="3"/>
        <v>0</v>
      </c>
      <c r="K28" s="151"/>
      <c r="L28" s="151">
        <f t="shared" si="13"/>
        <v>0</v>
      </c>
      <c r="M28" s="161"/>
      <c r="N28" s="627"/>
      <c r="O28" s="161"/>
      <c r="P28" s="161"/>
      <c r="Q28" s="161"/>
      <c r="R28" s="1225"/>
      <c r="S28" s="625">
        <f t="shared" si="5"/>
        <v>0</v>
      </c>
      <c r="T28" s="625">
        <f t="shared" si="19"/>
        <v>0</v>
      </c>
      <c r="U28" s="151"/>
      <c r="V28" s="151"/>
      <c r="W28" s="151"/>
      <c r="X28" s="151">
        <f t="shared" si="11"/>
        <v>0</v>
      </c>
      <c r="Y28" s="151"/>
      <c r="Z28" s="151"/>
      <c r="AA28" s="151"/>
      <c r="AB28" s="151">
        <f t="shared" si="22"/>
        <v>0</v>
      </c>
      <c r="AC28" s="665" t="s">
        <v>1579</v>
      </c>
      <c r="AD28" s="1126" t="s">
        <v>1865</v>
      </c>
      <c r="AE28" s="143"/>
      <c r="AF28" s="1126" t="s">
        <v>1865</v>
      </c>
      <c r="AG28" s="143"/>
      <c r="AH28" s="143"/>
      <c r="AI28" s="1128" t="s">
        <v>2567</v>
      </c>
    </row>
    <row r="29" spans="1:35" ht="139.94999999999999" customHeight="1" thickBot="1" x14ac:dyDescent="0.45">
      <c r="A29" s="140"/>
      <c r="B29" s="1017" t="s">
        <v>1112</v>
      </c>
      <c r="C29" s="1018" t="s">
        <v>1113</v>
      </c>
      <c r="D29" s="164" t="s">
        <v>560</v>
      </c>
      <c r="E29" s="110">
        <v>0.05</v>
      </c>
      <c r="F29" s="150">
        <v>16</v>
      </c>
      <c r="G29" s="161">
        <v>0</v>
      </c>
      <c r="H29" s="161">
        <v>2</v>
      </c>
      <c r="I29" s="151"/>
      <c r="J29" s="151">
        <f t="shared" si="3"/>
        <v>0.125</v>
      </c>
      <c r="K29" s="151"/>
      <c r="L29" s="151">
        <f t="shared" si="13"/>
        <v>6.2500000000000003E-3</v>
      </c>
      <c r="M29" s="161"/>
      <c r="N29" s="627">
        <v>0</v>
      </c>
      <c r="O29" s="627">
        <v>0</v>
      </c>
      <c r="P29" s="627">
        <v>0</v>
      </c>
      <c r="Q29" s="627"/>
      <c r="R29" s="627">
        <v>1</v>
      </c>
      <c r="S29" s="625">
        <f t="shared" si="5"/>
        <v>1</v>
      </c>
      <c r="T29" s="625">
        <f t="shared" si="19"/>
        <v>1</v>
      </c>
      <c r="U29" s="151"/>
      <c r="V29" s="151">
        <f t="shared" si="20"/>
        <v>0.5</v>
      </c>
      <c r="W29" s="151"/>
      <c r="X29" s="151">
        <f t="shared" si="11"/>
        <v>2.5000000000000001E-2</v>
      </c>
      <c r="Y29" s="151"/>
      <c r="Z29" s="151">
        <f>+T29/4</f>
        <v>0.25</v>
      </c>
      <c r="AA29" s="151"/>
      <c r="AB29" s="151">
        <f t="shared" si="22"/>
        <v>1.2500000000000001E-2</v>
      </c>
      <c r="AC29" s="659" t="s">
        <v>1850</v>
      </c>
      <c r="AD29" s="1126" t="s">
        <v>1920</v>
      </c>
      <c r="AE29" s="1087" t="s">
        <v>2278</v>
      </c>
      <c r="AF29" s="1087" t="s">
        <v>2297</v>
      </c>
      <c r="AG29" s="1087" t="s">
        <v>2412</v>
      </c>
      <c r="AH29" s="1087" t="s">
        <v>2448</v>
      </c>
      <c r="AI29" s="1126" t="s">
        <v>2577</v>
      </c>
    </row>
    <row r="30" spans="1:35" ht="71.25" customHeight="1" thickBot="1" x14ac:dyDescent="0.45">
      <c r="A30" s="140"/>
      <c r="B30" s="1345" t="s">
        <v>1838</v>
      </c>
      <c r="C30" s="1342"/>
      <c r="D30" s="158"/>
      <c r="E30" s="144">
        <v>0.25</v>
      </c>
      <c r="F30" s="160">
        <f>+E30*W30</f>
        <v>1.2824999999999998E-2</v>
      </c>
      <c r="G30" s="143"/>
      <c r="H30" s="160">
        <f>+E30*X30</f>
        <v>0.18167749999999999</v>
      </c>
      <c r="I30" s="145">
        <f>+(I31+I40+I47)/3</f>
        <v>0.22685185185185186</v>
      </c>
      <c r="J30" s="145">
        <f>+(J31+J40+J47)/3</f>
        <v>0.30802469135802468</v>
      </c>
      <c r="K30" s="146">
        <f>+(K31+K40+K47)/3</f>
        <v>8.3611111111111122E-2</v>
      </c>
      <c r="L30" s="146">
        <f>+(L31+L40+L47)/3</f>
        <v>0.29299999999999998</v>
      </c>
      <c r="M30" s="143"/>
      <c r="N30" s="143"/>
      <c r="O30" s="143"/>
      <c r="P30" s="143"/>
      <c r="Q30" s="143"/>
      <c r="R30" s="1227"/>
      <c r="S30" s="143"/>
      <c r="T30" s="143"/>
      <c r="U30" s="145">
        <f>+(U31+U40+U47)/3</f>
        <v>0.22222222222222221</v>
      </c>
      <c r="V30" s="145">
        <f>+(V31+V40+V47)/3</f>
        <v>0.87703703703703706</v>
      </c>
      <c r="W30" s="146">
        <f>+W31+W40+W47</f>
        <v>5.1299999999999991E-2</v>
      </c>
      <c r="X30" s="146">
        <f>+X31+X40+X47</f>
        <v>0.72670999999999997</v>
      </c>
      <c r="Y30" s="145">
        <f>(Y31+Y40+Y47)/3</f>
        <v>4.6296296296296287E-2</v>
      </c>
      <c r="Z30" s="145">
        <f>(Z31+Z40+Z47)/3</f>
        <v>0.37216203703703704</v>
      </c>
      <c r="AA30" s="146">
        <f>(AA31+AA40+AA47)</f>
        <v>9.6249999999999999E-3</v>
      </c>
      <c r="AB30" s="146">
        <f>(AB31*E31+AB40*E40+AB47*E47)</f>
        <v>0.33927250000000003</v>
      </c>
      <c r="AC30" s="1122"/>
      <c r="AD30" s="143"/>
      <c r="AE30" s="143"/>
      <c r="AF30" s="143"/>
      <c r="AG30" s="143"/>
      <c r="AH30" s="143"/>
      <c r="AI30" s="142"/>
    </row>
    <row r="31" spans="1:35" ht="63" customHeight="1" thickBot="1" x14ac:dyDescent="0.45">
      <c r="A31" s="140"/>
      <c r="B31" s="1341" t="s">
        <v>1839</v>
      </c>
      <c r="C31" s="1342"/>
      <c r="D31" s="158"/>
      <c r="E31" s="109">
        <v>0.3</v>
      </c>
      <c r="F31" s="150"/>
      <c r="G31" s="143"/>
      <c r="H31" s="143"/>
      <c r="I31" s="148">
        <f>+AVERAGE(I32:I39)</f>
        <v>0.30555555555555552</v>
      </c>
      <c r="J31" s="148">
        <f>+AVERAGE(J32:J39)</f>
        <v>0.33462962962962967</v>
      </c>
      <c r="K31" s="148">
        <f>+K32+K33+K34+K35+K36+K37+K38+K39</f>
        <v>0.18208333333333335</v>
      </c>
      <c r="L31" s="148">
        <f>+L32+L33+L34+L35+L36+L37+L38+L39</f>
        <v>0.29941666666666666</v>
      </c>
      <c r="M31" s="149"/>
      <c r="N31" s="149"/>
      <c r="O31" s="149"/>
      <c r="P31" s="149"/>
      <c r="Q31" s="149"/>
      <c r="R31" s="1226"/>
      <c r="S31" s="149"/>
      <c r="T31" s="149"/>
      <c r="U31" s="626">
        <f>+AVERAGE(U32:U39)</f>
        <v>0.66666666666666663</v>
      </c>
      <c r="V31" s="626">
        <f>+AVERAGE(V32:V39)</f>
        <v>0.76111111111111107</v>
      </c>
      <c r="W31" s="626">
        <f>+(W32+W33+W34+W35+W36+W37+W38+W39)*E31</f>
        <v>5.1299999999999991E-2</v>
      </c>
      <c r="X31" s="626">
        <f>+(X32+X33+X34+X35+X36+X37+X38+X39)*E31</f>
        <v>0.14621000000000001</v>
      </c>
      <c r="Y31" s="148">
        <f>+AVERAGE(Y32:Y39)</f>
        <v>0.13888888888888887</v>
      </c>
      <c r="Z31" s="148">
        <f>+((Z32-Y32)/8)+((Z33-Y33)/8)+((Z34-Y34)/8)+((Z35-Y35)/8)+((Z36-Y36)/8)+((Z37-Y37)/8)+((Z38-Y38)/8)+((Z39-Y39)/8)+Y31</f>
        <v>0.31381944444444443</v>
      </c>
      <c r="AA31" s="148">
        <f>+(AA32+AA33+AA34+AA35+AA36+AA37+AA38+AA39)*E31</f>
        <v>9.6249999999999999E-3</v>
      </c>
      <c r="AB31" s="148">
        <f>+(AB32+AB33+AB34+AB35+AB36+AB37+AB38+AB39)</f>
        <v>0.17684166666666667</v>
      </c>
      <c r="AC31" s="1123"/>
      <c r="AD31" s="1125" t="s">
        <v>2000</v>
      </c>
      <c r="AE31" s="143"/>
      <c r="AF31" s="143"/>
      <c r="AG31" s="143"/>
      <c r="AH31" s="143"/>
      <c r="AI31" s="142"/>
    </row>
    <row r="32" spans="1:35" ht="133.94999999999999" customHeight="1" thickBot="1" x14ac:dyDescent="0.45">
      <c r="A32" s="140"/>
      <c r="B32" s="1015" t="s">
        <v>1114</v>
      </c>
      <c r="C32" s="1016" t="s">
        <v>1115</v>
      </c>
      <c r="D32" s="165" t="s">
        <v>12</v>
      </c>
      <c r="E32" s="110">
        <v>0.15</v>
      </c>
      <c r="F32" s="150">
        <v>5</v>
      </c>
      <c r="G32" s="161">
        <v>0</v>
      </c>
      <c r="H32" s="161">
        <v>0</v>
      </c>
      <c r="I32" s="151"/>
      <c r="J32" s="151"/>
      <c r="K32" s="151"/>
      <c r="L32" s="151"/>
      <c r="M32" s="161"/>
      <c r="N32" s="627"/>
      <c r="O32" s="627"/>
      <c r="P32" s="627"/>
      <c r="Q32" s="627"/>
      <c r="R32" s="627"/>
      <c r="S32" s="625">
        <f t="shared" si="5"/>
        <v>0</v>
      </c>
      <c r="T32" s="625">
        <f t="shared" ref="T32:T39" si="23">+S32+M32</f>
        <v>0</v>
      </c>
      <c r="U32" s="152"/>
      <c r="V32" s="152"/>
      <c r="W32" s="152"/>
      <c r="X32" s="152"/>
      <c r="Y32" s="152"/>
      <c r="Z32" s="152"/>
      <c r="AA32" s="152">
        <v>0</v>
      </c>
      <c r="AB32" s="152">
        <f>+Z32*E32</f>
        <v>0</v>
      </c>
      <c r="AC32" s="659" t="s">
        <v>1850</v>
      </c>
      <c r="AD32" s="1127" t="s">
        <v>1893</v>
      </c>
      <c r="AE32" s="1127" t="s">
        <v>2278</v>
      </c>
      <c r="AF32" s="1087" t="s">
        <v>2297</v>
      </c>
      <c r="AG32" s="1087" t="s">
        <v>2412</v>
      </c>
      <c r="AH32" s="1087" t="s">
        <v>2447</v>
      </c>
      <c r="AI32" s="1087" t="s">
        <v>2564</v>
      </c>
    </row>
    <row r="33" spans="1:35" ht="72" customHeight="1" thickBot="1" x14ac:dyDescent="0.45">
      <c r="A33" s="140"/>
      <c r="B33" s="1015" t="s">
        <v>1116</v>
      </c>
      <c r="C33" s="1016" t="s">
        <v>1117</v>
      </c>
      <c r="D33" s="165" t="s">
        <v>12</v>
      </c>
      <c r="E33" s="110">
        <v>0.3</v>
      </c>
      <c r="F33" s="150">
        <v>1</v>
      </c>
      <c r="G33" s="161">
        <v>0.5</v>
      </c>
      <c r="H33" s="161">
        <v>0.5</v>
      </c>
      <c r="I33" s="151">
        <f t="shared" ref="I33:I39" si="24">+G33/F33</f>
        <v>0.5</v>
      </c>
      <c r="J33" s="151">
        <f t="shared" ref="J33:J39" si="25">+H33/F33</f>
        <v>0.5</v>
      </c>
      <c r="K33" s="151">
        <f t="shared" ref="K33:K39" si="26">+(G33/F33)*E33</f>
        <v>0.15</v>
      </c>
      <c r="L33" s="151">
        <f t="shared" ref="L33:L39" si="27">+(H33/F33)*E33</f>
        <v>0.15</v>
      </c>
      <c r="M33" s="161">
        <v>0</v>
      </c>
      <c r="N33" s="627">
        <v>0</v>
      </c>
      <c r="O33" s="627">
        <v>0</v>
      </c>
      <c r="P33" s="627">
        <v>0</v>
      </c>
      <c r="Q33" s="627">
        <v>0</v>
      </c>
      <c r="R33" s="627">
        <v>0</v>
      </c>
      <c r="S33" s="625">
        <f t="shared" si="5"/>
        <v>0</v>
      </c>
      <c r="T33" s="625">
        <f t="shared" si="23"/>
        <v>0</v>
      </c>
      <c r="U33" s="152">
        <f t="shared" ref="U33:U39" si="28">+(M33/G33)</f>
        <v>0</v>
      </c>
      <c r="V33" s="152">
        <f t="shared" ref="V33:V39" si="29">+S33/H33</f>
        <v>0</v>
      </c>
      <c r="W33" s="152">
        <f t="shared" ref="W33:W39" si="30">+U33*E33</f>
        <v>0</v>
      </c>
      <c r="X33" s="152">
        <f t="shared" ref="X33:X39" si="31">+V33*E33</f>
        <v>0</v>
      </c>
      <c r="Y33" s="152">
        <f t="shared" ref="Y33:Y39" si="32">+M33/F33</f>
        <v>0</v>
      </c>
      <c r="Z33" s="152">
        <f t="shared" ref="Z33:Z39" si="33">+T33/F33</f>
        <v>0</v>
      </c>
      <c r="AA33" s="152">
        <f t="shared" ref="AA33:AA39" si="34">+Y33*E33</f>
        <v>0</v>
      </c>
      <c r="AB33" s="152">
        <f t="shared" ref="AB33:AB39" si="35">+Z33*E33</f>
        <v>0</v>
      </c>
      <c r="AC33" s="659" t="s">
        <v>1850</v>
      </c>
      <c r="AD33" s="1127" t="s">
        <v>1893</v>
      </c>
      <c r="AE33" s="1127" t="s">
        <v>2278</v>
      </c>
      <c r="AF33" s="1087" t="s">
        <v>2297</v>
      </c>
      <c r="AG33" s="1087" t="s">
        <v>2412</v>
      </c>
      <c r="AH33" s="1087" t="s">
        <v>2447</v>
      </c>
      <c r="AI33" s="1087" t="s">
        <v>2564</v>
      </c>
    </row>
    <row r="34" spans="1:35" ht="148.94999999999999" customHeight="1" thickBot="1" x14ac:dyDescent="0.45">
      <c r="A34" s="140"/>
      <c r="B34" s="1015" t="s">
        <v>1118</v>
      </c>
      <c r="C34" s="1016" t="s">
        <v>1119</v>
      </c>
      <c r="D34" s="158" t="s">
        <v>551</v>
      </c>
      <c r="E34" s="110">
        <v>0.15</v>
      </c>
      <c r="F34" s="150">
        <v>450</v>
      </c>
      <c r="G34" s="161">
        <v>0</v>
      </c>
      <c r="H34" s="161">
        <v>86</v>
      </c>
      <c r="I34" s="151"/>
      <c r="J34" s="151">
        <f t="shared" si="25"/>
        <v>0.19111111111111112</v>
      </c>
      <c r="K34" s="151"/>
      <c r="L34" s="151">
        <f t="shared" si="27"/>
        <v>2.8666666666666667E-2</v>
      </c>
      <c r="M34" s="161"/>
      <c r="N34" s="627">
        <v>0</v>
      </c>
      <c r="O34" s="627">
        <v>0</v>
      </c>
      <c r="P34" s="627">
        <v>86</v>
      </c>
      <c r="Q34" s="627">
        <v>0</v>
      </c>
      <c r="R34" s="627">
        <v>0</v>
      </c>
      <c r="S34" s="625">
        <f t="shared" si="5"/>
        <v>86</v>
      </c>
      <c r="T34" s="625">
        <f t="shared" si="23"/>
        <v>86</v>
      </c>
      <c r="U34" s="152"/>
      <c r="V34" s="152">
        <f t="shared" si="29"/>
        <v>1</v>
      </c>
      <c r="W34" s="152"/>
      <c r="X34" s="152">
        <f t="shared" si="31"/>
        <v>0.15</v>
      </c>
      <c r="Y34" s="152"/>
      <c r="Z34" s="152">
        <f t="shared" si="33"/>
        <v>0.19111111111111112</v>
      </c>
      <c r="AA34" s="152"/>
      <c r="AB34" s="152">
        <f t="shared" si="35"/>
        <v>2.8666666666666667E-2</v>
      </c>
      <c r="AC34" s="665" t="s">
        <v>1583</v>
      </c>
      <c r="AD34" s="1126" t="s">
        <v>1920</v>
      </c>
      <c r="AE34" s="1127" t="s">
        <v>2278</v>
      </c>
      <c r="AF34" s="1087" t="s">
        <v>2297</v>
      </c>
      <c r="AG34" s="1087" t="s">
        <v>2359</v>
      </c>
      <c r="AH34" s="1087" t="s">
        <v>2447</v>
      </c>
      <c r="AI34" s="1087" t="s">
        <v>2564</v>
      </c>
    </row>
    <row r="35" spans="1:35" ht="81" customHeight="1" thickBot="1" x14ac:dyDescent="0.45">
      <c r="A35" s="140"/>
      <c r="B35" s="1017" t="s">
        <v>1120</v>
      </c>
      <c r="C35" s="1018" t="s">
        <v>1121</v>
      </c>
      <c r="D35" s="165" t="s">
        <v>12</v>
      </c>
      <c r="E35" s="110">
        <v>0.128</v>
      </c>
      <c r="F35" s="150">
        <v>6</v>
      </c>
      <c r="G35" s="161">
        <v>1</v>
      </c>
      <c r="H35" s="161">
        <v>2</v>
      </c>
      <c r="I35" s="151">
        <f t="shared" si="24"/>
        <v>0.16666666666666666</v>
      </c>
      <c r="J35" s="151">
        <f t="shared" si="25"/>
        <v>0.33333333333333331</v>
      </c>
      <c r="K35" s="151">
        <f t="shared" si="26"/>
        <v>2.1333333333333333E-2</v>
      </c>
      <c r="L35" s="151">
        <f t="shared" si="27"/>
        <v>4.2666666666666665E-2</v>
      </c>
      <c r="M35" s="161">
        <v>1</v>
      </c>
      <c r="N35" s="627">
        <v>0</v>
      </c>
      <c r="O35" s="627">
        <v>0</v>
      </c>
      <c r="P35" s="627">
        <v>2</v>
      </c>
      <c r="Q35" s="627">
        <v>0</v>
      </c>
      <c r="R35" s="627">
        <v>0</v>
      </c>
      <c r="S35" s="625">
        <f t="shared" si="5"/>
        <v>2</v>
      </c>
      <c r="T35" s="625">
        <f t="shared" si="23"/>
        <v>3</v>
      </c>
      <c r="U35" s="152">
        <f t="shared" si="28"/>
        <v>1</v>
      </c>
      <c r="V35" s="152">
        <f t="shared" si="29"/>
        <v>1</v>
      </c>
      <c r="W35" s="152">
        <f t="shared" si="30"/>
        <v>0.128</v>
      </c>
      <c r="X35" s="152">
        <f t="shared" si="31"/>
        <v>0.128</v>
      </c>
      <c r="Y35" s="152">
        <f t="shared" si="32"/>
        <v>0.16666666666666666</v>
      </c>
      <c r="Z35" s="152">
        <f t="shared" si="33"/>
        <v>0.5</v>
      </c>
      <c r="AA35" s="152">
        <f t="shared" si="34"/>
        <v>2.1333333333333333E-2</v>
      </c>
      <c r="AB35" s="152">
        <f t="shared" si="35"/>
        <v>6.4000000000000001E-2</v>
      </c>
      <c r="AC35" s="659" t="s">
        <v>1850</v>
      </c>
      <c r="AD35" s="1127" t="s">
        <v>1893</v>
      </c>
      <c r="AE35" s="1127" t="s">
        <v>2278</v>
      </c>
      <c r="AF35" s="1087" t="s">
        <v>2297</v>
      </c>
      <c r="AG35" s="1087" t="s">
        <v>2412</v>
      </c>
      <c r="AH35" s="1087" t="s">
        <v>2447</v>
      </c>
      <c r="AI35" s="1087" t="s">
        <v>2568</v>
      </c>
    </row>
    <row r="36" spans="1:35" ht="107.4" customHeight="1" thickBot="1" x14ac:dyDescent="0.45">
      <c r="A36" s="140"/>
      <c r="B36" s="1015" t="s">
        <v>1122</v>
      </c>
      <c r="C36" s="1016" t="s">
        <v>1123</v>
      </c>
      <c r="D36" s="165" t="s">
        <v>12</v>
      </c>
      <c r="E36" s="110">
        <v>8.500000000000002E-2</v>
      </c>
      <c r="F36" s="150">
        <v>5</v>
      </c>
      <c r="G36" s="161">
        <v>0</v>
      </c>
      <c r="H36" s="161">
        <v>2</v>
      </c>
      <c r="I36" s="151"/>
      <c r="J36" s="151">
        <f t="shared" si="25"/>
        <v>0.4</v>
      </c>
      <c r="K36" s="151"/>
      <c r="L36" s="151">
        <f t="shared" si="27"/>
        <v>3.4000000000000009E-2</v>
      </c>
      <c r="M36" s="161"/>
      <c r="N36" s="627">
        <v>0</v>
      </c>
      <c r="O36" s="627">
        <v>0</v>
      </c>
      <c r="P36" s="627">
        <v>0</v>
      </c>
      <c r="Q36" s="627">
        <v>2</v>
      </c>
      <c r="R36" s="627">
        <v>0</v>
      </c>
      <c r="S36" s="625">
        <f t="shared" si="5"/>
        <v>2</v>
      </c>
      <c r="T36" s="625">
        <f t="shared" si="23"/>
        <v>2</v>
      </c>
      <c r="U36" s="152"/>
      <c r="V36" s="152">
        <f t="shared" si="29"/>
        <v>1</v>
      </c>
      <c r="W36" s="152"/>
      <c r="X36" s="152">
        <f t="shared" si="31"/>
        <v>8.500000000000002E-2</v>
      </c>
      <c r="Y36" s="152"/>
      <c r="Z36" s="152">
        <f t="shared" si="33"/>
        <v>0.4</v>
      </c>
      <c r="AA36" s="152">
        <f>+Y36*E36</f>
        <v>0</v>
      </c>
      <c r="AB36" s="152">
        <f t="shared" si="35"/>
        <v>3.4000000000000009E-2</v>
      </c>
      <c r="AC36" s="659" t="s">
        <v>1850</v>
      </c>
      <c r="AD36" s="1127" t="s">
        <v>1893</v>
      </c>
      <c r="AE36" s="1127" t="s">
        <v>2278</v>
      </c>
      <c r="AF36" s="1087" t="s">
        <v>2297</v>
      </c>
      <c r="AG36" s="1087" t="s">
        <v>2412</v>
      </c>
      <c r="AH36" s="1087" t="s">
        <v>2447</v>
      </c>
      <c r="AI36" s="1087" t="s">
        <v>2568</v>
      </c>
    </row>
    <row r="37" spans="1:35" ht="123.6" customHeight="1" thickBot="1" x14ac:dyDescent="0.45">
      <c r="A37" s="140"/>
      <c r="B37" s="1015" t="s">
        <v>1124</v>
      </c>
      <c r="C37" s="1016" t="s">
        <v>1125</v>
      </c>
      <c r="D37" s="165" t="s">
        <v>12</v>
      </c>
      <c r="E37" s="110">
        <v>0.1</v>
      </c>
      <c r="F37" s="150">
        <v>6</v>
      </c>
      <c r="G37" s="161">
        <v>0</v>
      </c>
      <c r="H37" s="161">
        <v>2</v>
      </c>
      <c r="I37" s="151"/>
      <c r="J37" s="151">
        <f t="shared" si="25"/>
        <v>0.33333333333333331</v>
      </c>
      <c r="K37" s="151"/>
      <c r="L37" s="151">
        <f t="shared" si="27"/>
        <v>3.3333333333333333E-2</v>
      </c>
      <c r="M37" s="161"/>
      <c r="N37" s="627">
        <v>0</v>
      </c>
      <c r="O37" s="627">
        <v>0</v>
      </c>
      <c r="P37" s="627">
        <v>0</v>
      </c>
      <c r="Q37" s="627">
        <v>2</v>
      </c>
      <c r="R37" s="627">
        <v>0</v>
      </c>
      <c r="S37" s="625">
        <f t="shared" si="5"/>
        <v>2</v>
      </c>
      <c r="T37" s="625">
        <f t="shared" si="23"/>
        <v>2</v>
      </c>
      <c r="U37" s="152"/>
      <c r="V37" s="152">
        <f t="shared" si="29"/>
        <v>1</v>
      </c>
      <c r="W37" s="152"/>
      <c r="X37" s="152">
        <f t="shared" si="31"/>
        <v>0.1</v>
      </c>
      <c r="Y37" s="152"/>
      <c r="Z37" s="152">
        <f t="shared" si="33"/>
        <v>0.33333333333333331</v>
      </c>
      <c r="AA37" s="152">
        <f t="shared" si="34"/>
        <v>0</v>
      </c>
      <c r="AB37" s="152">
        <f>+Z37*E37</f>
        <v>3.3333333333333333E-2</v>
      </c>
      <c r="AC37" s="659" t="s">
        <v>1850</v>
      </c>
      <c r="AD37" s="1127" t="s">
        <v>1893</v>
      </c>
      <c r="AE37" s="1127" t="s">
        <v>2278</v>
      </c>
      <c r="AF37" s="1087" t="s">
        <v>2297</v>
      </c>
      <c r="AG37" s="1087" t="s">
        <v>2412</v>
      </c>
      <c r="AH37" s="1087" t="s">
        <v>2447</v>
      </c>
      <c r="AI37" s="1087" t="s">
        <v>2568</v>
      </c>
    </row>
    <row r="38" spans="1:35" ht="118.95" customHeight="1" thickBot="1" x14ac:dyDescent="0.45">
      <c r="A38" s="140"/>
      <c r="B38" s="1015" t="s">
        <v>1126</v>
      </c>
      <c r="C38" s="1016" t="s">
        <v>1127</v>
      </c>
      <c r="D38" s="165" t="s">
        <v>12</v>
      </c>
      <c r="E38" s="110">
        <v>4.250000000000001E-2</v>
      </c>
      <c r="F38" s="150">
        <v>1</v>
      </c>
      <c r="G38" s="161">
        <v>0</v>
      </c>
      <c r="H38" s="161">
        <v>0</v>
      </c>
      <c r="I38" s="151"/>
      <c r="J38" s="151"/>
      <c r="K38" s="151"/>
      <c r="L38" s="151"/>
      <c r="M38" s="161"/>
      <c r="N38" s="627"/>
      <c r="O38" s="627"/>
      <c r="P38" s="627"/>
      <c r="Q38" s="627"/>
      <c r="R38" s="627"/>
      <c r="S38" s="625">
        <f t="shared" si="5"/>
        <v>0</v>
      </c>
      <c r="T38" s="625">
        <f t="shared" si="23"/>
        <v>0</v>
      </c>
      <c r="U38" s="152"/>
      <c r="V38" s="152"/>
      <c r="W38" s="152"/>
      <c r="X38" s="152"/>
      <c r="Y38" s="152"/>
      <c r="Z38" s="152"/>
      <c r="AA38" s="152">
        <v>0</v>
      </c>
      <c r="AB38" s="152">
        <f t="shared" si="35"/>
        <v>0</v>
      </c>
      <c r="AC38" s="659" t="s">
        <v>1850</v>
      </c>
      <c r="AD38" s="1127" t="s">
        <v>1893</v>
      </c>
      <c r="AE38" s="1127" t="s">
        <v>2278</v>
      </c>
      <c r="AF38" s="1087" t="s">
        <v>2297</v>
      </c>
      <c r="AG38" s="1087" t="s">
        <v>2412</v>
      </c>
      <c r="AH38" s="1087" t="s">
        <v>2447</v>
      </c>
      <c r="AI38" s="1087" t="s">
        <v>2568</v>
      </c>
    </row>
    <row r="39" spans="1:35" ht="120.6" customHeight="1" thickBot="1" x14ac:dyDescent="0.45">
      <c r="A39" s="140"/>
      <c r="B39" s="141" t="s">
        <v>1128</v>
      </c>
      <c r="C39" s="155" t="s">
        <v>1129</v>
      </c>
      <c r="D39" s="165" t="s">
        <v>12</v>
      </c>
      <c r="E39" s="110">
        <v>4.2999999999999997E-2</v>
      </c>
      <c r="F39" s="150">
        <v>6</v>
      </c>
      <c r="G39" s="161">
        <v>1.5</v>
      </c>
      <c r="H39" s="161">
        <f>0.25*6</f>
        <v>1.5</v>
      </c>
      <c r="I39" s="151">
        <f t="shared" si="24"/>
        <v>0.25</v>
      </c>
      <c r="J39" s="151">
        <f t="shared" si="25"/>
        <v>0.25</v>
      </c>
      <c r="K39" s="151">
        <f t="shared" si="26"/>
        <v>1.0749999999999999E-2</v>
      </c>
      <c r="L39" s="151">
        <f t="shared" si="27"/>
        <v>1.0749999999999999E-2</v>
      </c>
      <c r="M39" s="161">
        <v>1.5</v>
      </c>
      <c r="N39" s="627">
        <v>0</v>
      </c>
      <c r="O39" s="161">
        <f>0.4*H39</f>
        <v>0.60000000000000009</v>
      </c>
      <c r="P39" s="161">
        <v>0.25</v>
      </c>
      <c r="Q39" s="161"/>
      <c r="R39" s="161"/>
      <c r="S39" s="625">
        <f t="shared" si="5"/>
        <v>0.85000000000000009</v>
      </c>
      <c r="T39" s="625">
        <f t="shared" si="23"/>
        <v>2.35</v>
      </c>
      <c r="U39" s="152">
        <f t="shared" si="28"/>
        <v>1</v>
      </c>
      <c r="V39" s="152">
        <f t="shared" si="29"/>
        <v>0.56666666666666676</v>
      </c>
      <c r="W39" s="152">
        <f t="shared" si="30"/>
        <v>4.2999999999999997E-2</v>
      </c>
      <c r="X39" s="152">
        <f t="shared" si="31"/>
        <v>2.4366666666666668E-2</v>
      </c>
      <c r="Y39" s="152">
        <f t="shared" si="32"/>
        <v>0.25</v>
      </c>
      <c r="Z39" s="152">
        <f t="shared" si="33"/>
        <v>0.39166666666666666</v>
      </c>
      <c r="AA39" s="152">
        <f t="shared" si="34"/>
        <v>1.0749999999999999E-2</v>
      </c>
      <c r="AB39" s="152">
        <f t="shared" si="35"/>
        <v>1.6841666666666665E-2</v>
      </c>
      <c r="AC39" s="659" t="s">
        <v>1850</v>
      </c>
      <c r="AD39" s="1126" t="s">
        <v>1917</v>
      </c>
      <c r="AE39" s="1127" t="s">
        <v>2278</v>
      </c>
      <c r="AF39" s="1087" t="s">
        <v>2297</v>
      </c>
      <c r="AG39" s="1087" t="s">
        <v>2412</v>
      </c>
      <c r="AH39" s="1126" t="s">
        <v>1977</v>
      </c>
      <c r="AI39" s="1126" t="s">
        <v>1977</v>
      </c>
    </row>
    <row r="40" spans="1:35" ht="57" customHeight="1" thickBot="1" x14ac:dyDescent="0.45">
      <c r="A40" s="140"/>
      <c r="B40" s="1341" t="s">
        <v>1840</v>
      </c>
      <c r="C40" s="1342"/>
      <c r="D40" s="158"/>
      <c r="E40" s="109">
        <v>0.3</v>
      </c>
      <c r="F40" s="150"/>
      <c r="G40" s="161"/>
      <c r="H40" s="161"/>
      <c r="I40" s="148">
        <f>+AVERAGE(I41:I46)</f>
        <v>0.25</v>
      </c>
      <c r="J40" s="148">
        <f>+AVERAGE(J41:J46)</f>
        <v>0.32777777777777778</v>
      </c>
      <c r="K40" s="148">
        <f>+K41+K42+K43+K44+K45+K46</f>
        <v>3.7499999999999999E-2</v>
      </c>
      <c r="L40" s="148">
        <f>+L41+L42+L43+L44+L45+L46</f>
        <v>0.28416666666666668</v>
      </c>
      <c r="M40" s="149"/>
      <c r="N40" s="149"/>
      <c r="O40" s="149"/>
      <c r="P40" s="149"/>
      <c r="Q40" s="149"/>
      <c r="R40" s="149"/>
      <c r="S40" s="149"/>
      <c r="T40" s="149"/>
      <c r="U40" s="626">
        <f>+AVERAGE(U41:U46)</f>
        <v>0</v>
      </c>
      <c r="V40" s="626">
        <f>+AVERAGE(V41:V46)</f>
        <v>0.86999999999999988</v>
      </c>
      <c r="W40" s="626">
        <f>+(W41+W42+W43+W44+W45+W46)*E40</f>
        <v>0</v>
      </c>
      <c r="X40" s="626">
        <f>+(X41+X42+X43+X44+X45+X46)*E40</f>
        <v>0.2205</v>
      </c>
      <c r="Y40" s="148">
        <f>+AVERAGE(Y41:Y46)</f>
        <v>0</v>
      </c>
      <c r="Z40" s="148">
        <f>+AVERAGE(Z41:Z46)</f>
        <v>0.33566666666666661</v>
      </c>
      <c r="AA40" s="148">
        <f>+(AA41+AA42+AA43+AA44+AA45+AA46)*E40</f>
        <v>0</v>
      </c>
      <c r="AB40" s="148">
        <f>+(AB41+AB42+AB43+AB44+AB45+AB46)</f>
        <v>0.31906666666666667</v>
      </c>
      <c r="AC40" s="1123"/>
      <c r="AD40" s="143"/>
      <c r="AE40" s="143"/>
      <c r="AF40" s="143"/>
      <c r="AG40" s="143"/>
      <c r="AH40" s="143"/>
      <c r="AI40" s="142"/>
    </row>
    <row r="41" spans="1:35" ht="93" customHeight="1" thickBot="1" x14ac:dyDescent="0.45">
      <c r="A41" s="140"/>
      <c r="B41" s="1017" t="s">
        <v>1130</v>
      </c>
      <c r="C41" s="1018" t="s">
        <v>1131</v>
      </c>
      <c r="D41" s="158" t="s">
        <v>162</v>
      </c>
      <c r="E41" s="110">
        <v>0.1</v>
      </c>
      <c r="F41" s="150">
        <v>6</v>
      </c>
      <c r="G41" s="161">
        <v>0</v>
      </c>
      <c r="H41" s="161">
        <v>1</v>
      </c>
      <c r="I41" s="151"/>
      <c r="J41" s="151">
        <f t="shared" ref="J41:J46" si="36">+H41/F41</f>
        <v>0.16666666666666666</v>
      </c>
      <c r="K41" s="151"/>
      <c r="L41" s="151">
        <f t="shared" ref="L41:L46" si="37">+(H41/F41)*E41</f>
        <v>1.6666666666666666E-2</v>
      </c>
      <c r="M41" s="161"/>
      <c r="N41" s="627">
        <v>0</v>
      </c>
      <c r="O41" s="627">
        <v>0</v>
      </c>
      <c r="P41" s="627"/>
      <c r="Q41" s="627">
        <v>0.5</v>
      </c>
      <c r="R41" s="627"/>
      <c r="S41" s="625">
        <f t="shared" si="5"/>
        <v>0.5</v>
      </c>
      <c r="T41" s="625">
        <f t="shared" ref="T41:T46" si="38">+S41+M41</f>
        <v>0.5</v>
      </c>
      <c r="U41" s="151"/>
      <c r="V41" s="151">
        <f t="shared" ref="V41" si="39">+S41/H41</f>
        <v>0.5</v>
      </c>
      <c r="W41" s="151"/>
      <c r="X41" s="151">
        <f t="shared" ref="X41:X46" si="40">+V41*E41</f>
        <v>0.05</v>
      </c>
      <c r="Y41" s="151"/>
      <c r="Z41" s="151">
        <f t="shared" ref="Z41:Z46" si="41">+T41/F41</f>
        <v>8.3333333333333329E-2</v>
      </c>
      <c r="AA41" s="151"/>
      <c r="AB41" s="151">
        <f t="shared" ref="AB41:AB46" si="42">+Z41*E41</f>
        <v>8.3333333333333332E-3</v>
      </c>
      <c r="AC41" s="665" t="s">
        <v>1559</v>
      </c>
      <c r="AD41" s="1126" t="s">
        <v>1914</v>
      </c>
      <c r="AE41" s="1087" t="s">
        <v>2278</v>
      </c>
      <c r="AF41" s="1127" t="s">
        <v>2297</v>
      </c>
      <c r="AG41" s="143"/>
      <c r="AH41" s="1128" t="s">
        <v>2447</v>
      </c>
      <c r="AI41" s="1087" t="s">
        <v>2568</v>
      </c>
    </row>
    <row r="42" spans="1:35" ht="97.95" customHeight="1" thickBot="1" x14ac:dyDescent="0.45">
      <c r="A42" s="140"/>
      <c r="B42" s="1017" t="s">
        <v>1132</v>
      </c>
      <c r="C42" s="1018" t="s">
        <v>1133</v>
      </c>
      <c r="D42" s="158" t="s">
        <v>162</v>
      </c>
      <c r="E42" s="110">
        <v>0.1</v>
      </c>
      <c r="F42" s="150">
        <v>4</v>
      </c>
      <c r="G42" s="161">
        <v>0</v>
      </c>
      <c r="H42" s="161">
        <v>1</v>
      </c>
      <c r="I42" s="151"/>
      <c r="J42" s="151">
        <f t="shared" si="36"/>
        <v>0.25</v>
      </c>
      <c r="K42" s="151"/>
      <c r="L42" s="151">
        <f t="shared" si="37"/>
        <v>2.5000000000000001E-2</v>
      </c>
      <c r="M42" s="161"/>
      <c r="N42" s="627">
        <v>0</v>
      </c>
      <c r="O42" s="627">
        <v>0</v>
      </c>
      <c r="P42" s="627"/>
      <c r="Q42" s="627">
        <v>1</v>
      </c>
      <c r="R42" s="627"/>
      <c r="S42" s="625">
        <f t="shared" si="5"/>
        <v>1</v>
      </c>
      <c r="T42" s="625">
        <v>1</v>
      </c>
      <c r="U42" s="151"/>
      <c r="V42" s="151">
        <f>+S42/H42</f>
        <v>1</v>
      </c>
      <c r="W42" s="151"/>
      <c r="X42" s="151">
        <f t="shared" si="40"/>
        <v>0.1</v>
      </c>
      <c r="Y42" s="151"/>
      <c r="Z42" s="151">
        <f t="shared" si="41"/>
        <v>0.25</v>
      </c>
      <c r="AA42" s="151"/>
      <c r="AB42" s="151">
        <f t="shared" si="42"/>
        <v>2.5000000000000001E-2</v>
      </c>
      <c r="AC42" s="665" t="s">
        <v>1565</v>
      </c>
      <c r="AD42" s="1126" t="s">
        <v>1914</v>
      </c>
      <c r="AE42" s="1087" t="s">
        <v>2278</v>
      </c>
      <c r="AF42" s="1126" t="s">
        <v>2334</v>
      </c>
      <c r="AG42" s="143"/>
      <c r="AH42" s="1128" t="s">
        <v>2447</v>
      </c>
      <c r="AI42" s="1087" t="s">
        <v>2568</v>
      </c>
    </row>
    <row r="43" spans="1:35" ht="153" customHeight="1" thickBot="1" x14ac:dyDescent="0.45">
      <c r="A43" s="140"/>
      <c r="B43" s="1015" t="s">
        <v>1134</v>
      </c>
      <c r="C43" s="1016" t="s">
        <v>1135</v>
      </c>
      <c r="D43" s="158" t="s">
        <v>58</v>
      </c>
      <c r="E43" s="110">
        <v>0.35</v>
      </c>
      <c r="F43" s="150">
        <v>500</v>
      </c>
      <c r="G43" s="161">
        <v>0</v>
      </c>
      <c r="H43" s="161">
        <v>150</v>
      </c>
      <c r="I43" s="151"/>
      <c r="J43" s="151">
        <f t="shared" si="36"/>
        <v>0.3</v>
      </c>
      <c r="K43" s="151"/>
      <c r="L43" s="151">
        <f t="shared" si="37"/>
        <v>0.105</v>
      </c>
      <c r="M43" s="161"/>
      <c r="N43" s="627">
        <v>0</v>
      </c>
      <c r="O43" s="627">
        <v>109</v>
      </c>
      <c r="P43" s="627">
        <v>48</v>
      </c>
      <c r="Q43" s="627">
        <v>0</v>
      </c>
      <c r="R43" s="627">
        <v>0</v>
      </c>
      <c r="S43" s="625">
        <f t="shared" si="5"/>
        <v>157</v>
      </c>
      <c r="T43" s="625">
        <f t="shared" si="38"/>
        <v>157</v>
      </c>
      <c r="U43" s="151"/>
      <c r="V43" s="152">
        <v>1</v>
      </c>
      <c r="W43" s="152"/>
      <c r="X43" s="152">
        <f t="shared" si="40"/>
        <v>0.35</v>
      </c>
      <c r="Y43" s="152"/>
      <c r="Z43" s="152">
        <f t="shared" si="41"/>
        <v>0.314</v>
      </c>
      <c r="AA43" s="151"/>
      <c r="AB43" s="151">
        <f>+Z43*E43</f>
        <v>0.1099</v>
      </c>
      <c r="AC43" s="659" t="s">
        <v>1850</v>
      </c>
      <c r="AD43" s="1126" t="s">
        <v>1920</v>
      </c>
      <c r="AE43" s="1127" t="s">
        <v>2278</v>
      </c>
      <c r="AF43" s="1127" t="s">
        <v>2297</v>
      </c>
      <c r="AG43" s="1128" t="s">
        <v>2412</v>
      </c>
      <c r="AH43" s="1128" t="s">
        <v>2447</v>
      </c>
      <c r="AI43" s="1087" t="s">
        <v>2568</v>
      </c>
    </row>
    <row r="44" spans="1:35" ht="93" customHeight="1" thickBot="1" x14ac:dyDescent="0.45">
      <c r="A44" s="140"/>
      <c r="B44" s="1251" t="s">
        <v>1136</v>
      </c>
      <c r="C44" s="1252" t="s">
        <v>1137</v>
      </c>
      <c r="D44" s="158" t="s">
        <v>620</v>
      </c>
      <c r="E44" s="110">
        <v>0.15</v>
      </c>
      <c r="F44" s="150">
        <v>4</v>
      </c>
      <c r="G44" s="161">
        <v>1</v>
      </c>
      <c r="H44" s="161">
        <v>1</v>
      </c>
      <c r="I44" s="151">
        <f>+G44/F44</f>
        <v>0.25</v>
      </c>
      <c r="J44" s="151">
        <f t="shared" si="36"/>
        <v>0.25</v>
      </c>
      <c r="K44" s="151">
        <f>+(G44/F44)*E44</f>
        <v>3.7499999999999999E-2</v>
      </c>
      <c r="L44" s="151">
        <f t="shared" si="37"/>
        <v>3.7499999999999999E-2</v>
      </c>
      <c r="M44" s="161">
        <v>0</v>
      </c>
      <c r="N44" s="627">
        <v>0</v>
      </c>
      <c r="O44" s="627">
        <v>1</v>
      </c>
      <c r="P44" s="627">
        <v>0</v>
      </c>
      <c r="Q44" s="627">
        <v>0</v>
      </c>
      <c r="R44" s="627">
        <v>0</v>
      </c>
      <c r="S44" s="625">
        <f t="shared" si="5"/>
        <v>1</v>
      </c>
      <c r="T44" s="625">
        <f t="shared" si="38"/>
        <v>1</v>
      </c>
      <c r="U44" s="151">
        <f>+(M44/G44)</f>
        <v>0</v>
      </c>
      <c r="V44" s="151">
        <f t="shared" ref="V44:V45" si="43">+S44/H44</f>
        <v>1</v>
      </c>
      <c r="W44" s="151">
        <f>+U44*E44</f>
        <v>0</v>
      </c>
      <c r="X44" s="151">
        <f t="shared" si="40"/>
        <v>0.15</v>
      </c>
      <c r="Y44" s="151">
        <f>+M44/F44</f>
        <v>0</v>
      </c>
      <c r="Z44" s="151">
        <f t="shared" si="41"/>
        <v>0.25</v>
      </c>
      <c r="AA44" s="151">
        <f>+Y44*E44</f>
        <v>0</v>
      </c>
      <c r="AB44" s="151">
        <f t="shared" si="42"/>
        <v>3.7499999999999999E-2</v>
      </c>
      <c r="AC44" s="659" t="s">
        <v>1850</v>
      </c>
      <c r="AD44" s="1127" t="s">
        <v>1893</v>
      </c>
      <c r="AE44" s="1087" t="s">
        <v>2278</v>
      </c>
      <c r="AF44" s="1127" t="s">
        <v>2297</v>
      </c>
      <c r="AG44" s="1087" t="s">
        <v>2412</v>
      </c>
      <c r="AH44" s="1126" t="s">
        <v>2483</v>
      </c>
      <c r="AI44" s="1087" t="s">
        <v>2564</v>
      </c>
    </row>
    <row r="45" spans="1:35" ht="141" customHeight="1" thickBot="1" x14ac:dyDescent="0.45">
      <c r="A45" s="140"/>
      <c r="B45" s="1017" t="s">
        <v>1138</v>
      </c>
      <c r="C45" s="1018" t="s">
        <v>1139</v>
      </c>
      <c r="D45" s="158" t="s">
        <v>565</v>
      </c>
      <c r="E45" s="110">
        <v>0.1</v>
      </c>
      <c r="F45" s="150">
        <v>1</v>
      </c>
      <c r="G45" s="161">
        <v>0</v>
      </c>
      <c r="H45" s="161">
        <v>1</v>
      </c>
      <c r="I45" s="151"/>
      <c r="J45" s="151">
        <f t="shared" si="36"/>
        <v>1</v>
      </c>
      <c r="K45" s="151"/>
      <c r="L45" s="151">
        <f t="shared" si="37"/>
        <v>0.1</v>
      </c>
      <c r="M45" s="161"/>
      <c r="N45" s="627">
        <v>0</v>
      </c>
      <c r="O45" s="627">
        <v>0.05</v>
      </c>
      <c r="P45" s="627">
        <v>0.45</v>
      </c>
      <c r="Q45" s="627">
        <v>0.35</v>
      </c>
      <c r="R45" s="627">
        <v>0</v>
      </c>
      <c r="S45" s="625">
        <f t="shared" si="5"/>
        <v>0.85</v>
      </c>
      <c r="T45" s="625">
        <f t="shared" si="38"/>
        <v>0.85</v>
      </c>
      <c r="U45" s="151"/>
      <c r="V45" s="152">
        <f t="shared" si="43"/>
        <v>0.85</v>
      </c>
      <c r="W45" s="152"/>
      <c r="X45" s="152">
        <f t="shared" si="40"/>
        <v>8.5000000000000006E-2</v>
      </c>
      <c r="Y45" s="152"/>
      <c r="Z45" s="152">
        <f t="shared" si="41"/>
        <v>0.85</v>
      </c>
      <c r="AA45" s="152"/>
      <c r="AB45" s="152">
        <f t="shared" si="42"/>
        <v>8.5000000000000006E-2</v>
      </c>
      <c r="AC45" s="659" t="s">
        <v>1850</v>
      </c>
      <c r="AD45" s="1126" t="s">
        <v>1920</v>
      </c>
      <c r="AE45" s="1128" t="s">
        <v>2278</v>
      </c>
      <c r="AF45" s="1127" t="s">
        <v>2297</v>
      </c>
      <c r="AG45" s="1087" t="s">
        <v>2412</v>
      </c>
      <c r="AH45" s="1087" t="s">
        <v>2447</v>
      </c>
      <c r="AI45" s="1087" t="s">
        <v>2568</v>
      </c>
    </row>
    <row r="46" spans="1:35" ht="93" customHeight="1" thickBot="1" x14ac:dyDescent="0.45">
      <c r="A46" s="140"/>
      <c r="B46" s="1015" t="s">
        <v>1140</v>
      </c>
      <c r="C46" s="1016" t="s">
        <v>1141</v>
      </c>
      <c r="D46" s="166" t="s">
        <v>707</v>
      </c>
      <c r="E46" s="110">
        <v>0.2</v>
      </c>
      <c r="F46" s="150">
        <v>60</v>
      </c>
      <c r="G46" s="161">
        <v>0</v>
      </c>
      <c r="H46" s="161">
        <v>0</v>
      </c>
      <c r="I46" s="151"/>
      <c r="J46" s="151">
        <f t="shared" si="36"/>
        <v>0</v>
      </c>
      <c r="K46" s="151"/>
      <c r="L46" s="151">
        <f t="shared" si="37"/>
        <v>0</v>
      </c>
      <c r="M46" s="161"/>
      <c r="N46" s="627"/>
      <c r="O46" s="627"/>
      <c r="P46" s="627"/>
      <c r="Q46" s="627">
        <v>16</v>
      </c>
      <c r="R46" s="627"/>
      <c r="S46" s="625">
        <f t="shared" si="5"/>
        <v>16</v>
      </c>
      <c r="T46" s="625">
        <f t="shared" si="38"/>
        <v>16</v>
      </c>
      <c r="U46" s="151"/>
      <c r="V46" s="151"/>
      <c r="W46" s="151"/>
      <c r="X46" s="152">
        <f t="shared" si="40"/>
        <v>0</v>
      </c>
      <c r="Y46" s="152"/>
      <c r="Z46" s="152">
        <f t="shared" si="41"/>
        <v>0.26666666666666666</v>
      </c>
      <c r="AA46" s="152"/>
      <c r="AB46" s="152">
        <f t="shared" si="42"/>
        <v>5.3333333333333337E-2</v>
      </c>
      <c r="AC46" s="659" t="s">
        <v>1850</v>
      </c>
      <c r="AD46" s="1126" t="s">
        <v>1914</v>
      </c>
      <c r="AE46" s="143"/>
      <c r="AF46" s="1127" t="s">
        <v>2309</v>
      </c>
      <c r="AG46" s="1128" t="s">
        <v>2412</v>
      </c>
      <c r="AH46" s="1087" t="s">
        <v>2447</v>
      </c>
      <c r="AI46" s="1087" t="s">
        <v>2564</v>
      </c>
    </row>
    <row r="47" spans="1:35" ht="57" customHeight="1" thickBot="1" x14ac:dyDescent="0.45">
      <c r="A47" s="140"/>
      <c r="B47" s="1341" t="s">
        <v>1841</v>
      </c>
      <c r="C47" s="1342"/>
      <c r="D47" s="158"/>
      <c r="E47" s="109">
        <v>0.4</v>
      </c>
      <c r="F47" s="150"/>
      <c r="G47" s="161"/>
      <c r="H47" s="161"/>
      <c r="I47" s="148">
        <f>+AVERAGE(I48:I52)</f>
        <v>0.125</v>
      </c>
      <c r="J47" s="148">
        <f>+AVERAGE(J48:J52)</f>
        <v>0.26166666666666666</v>
      </c>
      <c r="K47" s="148">
        <f>+K48+K49+K50+K51+K52</f>
        <v>3.125E-2</v>
      </c>
      <c r="L47" s="148">
        <f>+L48+L49+L50+L51+L52</f>
        <v>0.29541666666666666</v>
      </c>
      <c r="M47" s="149"/>
      <c r="N47" s="149"/>
      <c r="O47" s="149"/>
      <c r="P47" s="149"/>
      <c r="Q47" s="149"/>
      <c r="R47" s="1226"/>
      <c r="S47" s="149"/>
      <c r="T47" s="149"/>
      <c r="U47" s="626">
        <f>+AVERAGE(U48:U52)</f>
        <v>0</v>
      </c>
      <c r="V47" s="626">
        <f>+AVERAGE(V48:V52)</f>
        <v>1</v>
      </c>
      <c r="W47" s="626">
        <f>+(W48+W49+W50+W51+W52)*E47</f>
        <v>0</v>
      </c>
      <c r="X47" s="626">
        <f>+(X48+X49+X50+X51+X52)*E47</f>
        <v>0.36</v>
      </c>
      <c r="Y47" s="148">
        <f>+AVERAGE(Y48:Y52)</f>
        <v>0</v>
      </c>
      <c r="Z47" s="148">
        <f>+AVERAGE(Z48:Z52)</f>
        <v>0.46699999999999997</v>
      </c>
      <c r="AA47" s="148">
        <f>+(AA48+AA49+AA50+AA51+AA52)*E47</f>
        <v>0</v>
      </c>
      <c r="AB47" s="148">
        <f>+(AB48+AB49+AB50+AB51+AB52)</f>
        <v>0.47625000000000006</v>
      </c>
      <c r="AC47" s="1123"/>
      <c r="AD47" s="143"/>
      <c r="AE47" s="143"/>
      <c r="AF47" s="143"/>
      <c r="AG47" s="143"/>
      <c r="AH47" s="143"/>
      <c r="AI47" s="142"/>
    </row>
    <row r="48" spans="1:35" ht="154.19999999999999" customHeight="1" thickBot="1" x14ac:dyDescent="0.45">
      <c r="A48" s="140"/>
      <c r="B48" s="1015" t="s">
        <v>1142</v>
      </c>
      <c r="C48" s="1016" t="s">
        <v>1143</v>
      </c>
      <c r="D48" s="158" t="s">
        <v>58</v>
      </c>
      <c r="E48" s="110">
        <v>0.2</v>
      </c>
      <c r="F48" s="150">
        <v>60</v>
      </c>
      <c r="G48" s="161">
        <v>0</v>
      </c>
      <c r="H48" s="161">
        <v>20</v>
      </c>
      <c r="I48" s="151"/>
      <c r="J48" s="151">
        <f t="shared" ref="J48:J52" si="44">+H48/F48</f>
        <v>0.33333333333333331</v>
      </c>
      <c r="K48" s="151"/>
      <c r="L48" s="151">
        <f t="shared" ref="L48:L52" si="45">+(H48/F48)*E48</f>
        <v>6.6666666666666666E-2</v>
      </c>
      <c r="M48" s="161"/>
      <c r="N48" s="627">
        <v>0</v>
      </c>
      <c r="O48" s="627">
        <v>9</v>
      </c>
      <c r="P48" s="627">
        <v>0</v>
      </c>
      <c r="Q48" s="627">
        <v>0</v>
      </c>
      <c r="R48" s="627">
        <v>51</v>
      </c>
      <c r="S48" s="625">
        <f t="shared" si="5"/>
        <v>60</v>
      </c>
      <c r="T48" s="625">
        <f t="shared" ref="T48:T52" si="46">+S48+M48</f>
        <v>60</v>
      </c>
      <c r="U48" s="151"/>
      <c r="V48" s="152">
        <v>1</v>
      </c>
      <c r="W48" s="152"/>
      <c r="X48" s="152">
        <f t="shared" ref="X48:X52" si="47">+V48*E48</f>
        <v>0.2</v>
      </c>
      <c r="Y48" s="152"/>
      <c r="Z48" s="152">
        <f t="shared" ref="Z48:Z52" si="48">+T48/F48</f>
        <v>1</v>
      </c>
      <c r="AA48" s="152"/>
      <c r="AB48" s="152">
        <f t="shared" ref="AB48:AB52" si="49">+Z48*E48</f>
        <v>0.2</v>
      </c>
      <c r="AC48" s="659" t="s">
        <v>1850</v>
      </c>
      <c r="AD48" s="1126" t="s">
        <v>1920</v>
      </c>
      <c r="AE48" s="1127" t="s">
        <v>2278</v>
      </c>
      <c r="AF48" s="1127" t="s">
        <v>2297</v>
      </c>
      <c r="AG48" s="1128" t="s">
        <v>2412</v>
      </c>
      <c r="AH48" s="1128" t="s">
        <v>2447</v>
      </c>
      <c r="AI48" s="1087" t="s">
        <v>2568</v>
      </c>
    </row>
    <row r="49" spans="1:35" ht="98.4" customHeight="1" thickBot="1" x14ac:dyDescent="0.45">
      <c r="A49" s="140"/>
      <c r="B49" s="1015" t="s">
        <v>1144</v>
      </c>
      <c r="C49" s="1016" t="s">
        <v>1145</v>
      </c>
      <c r="D49" s="162" t="s">
        <v>1146</v>
      </c>
      <c r="E49" s="110">
        <v>0.25</v>
      </c>
      <c r="F49" s="150">
        <v>200</v>
      </c>
      <c r="G49" s="161">
        <v>25</v>
      </c>
      <c r="H49" s="161">
        <v>75</v>
      </c>
      <c r="I49" s="151">
        <f>+G49/F49</f>
        <v>0.125</v>
      </c>
      <c r="J49" s="151">
        <f t="shared" si="44"/>
        <v>0.375</v>
      </c>
      <c r="K49" s="151">
        <f>+(G49/F49)*E49</f>
        <v>3.125E-2</v>
      </c>
      <c r="L49" s="151">
        <f t="shared" si="45"/>
        <v>9.375E-2</v>
      </c>
      <c r="M49" s="161">
        <v>0</v>
      </c>
      <c r="N49" s="627">
        <v>0</v>
      </c>
      <c r="O49" s="627">
        <v>0</v>
      </c>
      <c r="P49" s="627">
        <v>23</v>
      </c>
      <c r="Q49" s="627">
        <v>54</v>
      </c>
      <c r="R49" s="627">
        <v>0</v>
      </c>
      <c r="S49" s="625">
        <f t="shared" si="5"/>
        <v>77</v>
      </c>
      <c r="T49" s="625">
        <f t="shared" si="46"/>
        <v>77</v>
      </c>
      <c r="U49" s="151">
        <f>+(M49/G49)</f>
        <v>0</v>
      </c>
      <c r="V49" s="151">
        <v>1</v>
      </c>
      <c r="W49" s="151">
        <f>+U49*E49</f>
        <v>0</v>
      </c>
      <c r="X49" s="152">
        <f t="shared" si="47"/>
        <v>0.25</v>
      </c>
      <c r="Y49" s="152">
        <f>+M49/F49</f>
        <v>0</v>
      </c>
      <c r="Z49" s="152">
        <f t="shared" si="48"/>
        <v>0.38500000000000001</v>
      </c>
      <c r="AA49" s="152">
        <f>+Y49*E49</f>
        <v>0</v>
      </c>
      <c r="AB49" s="152">
        <f t="shared" si="49"/>
        <v>9.6250000000000002E-2</v>
      </c>
      <c r="AC49" s="659" t="s">
        <v>1850</v>
      </c>
      <c r="AD49" s="1127" t="s">
        <v>1893</v>
      </c>
      <c r="AE49" s="1127" t="s">
        <v>2278</v>
      </c>
      <c r="AF49" s="1127" t="s">
        <v>2297</v>
      </c>
      <c r="AG49" s="1128" t="s">
        <v>2412</v>
      </c>
      <c r="AH49" s="1128" t="s">
        <v>2451</v>
      </c>
      <c r="AI49" s="1128" t="s">
        <v>2564</v>
      </c>
    </row>
    <row r="50" spans="1:35" ht="154.19999999999999" customHeight="1" thickBot="1" x14ac:dyDescent="0.45">
      <c r="A50" s="140"/>
      <c r="B50" s="1015" t="s">
        <v>1147</v>
      </c>
      <c r="C50" s="1016" t="s">
        <v>1148</v>
      </c>
      <c r="D50" s="163" t="s">
        <v>516</v>
      </c>
      <c r="E50" s="110">
        <v>0.1</v>
      </c>
      <c r="F50" s="150">
        <v>8</v>
      </c>
      <c r="G50" s="161">
        <v>0</v>
      </c>
      <c r="H50" s="161"/>
      <c r="I50" s="151"/>
      <c r="J50" s="151">
        <f t="shared" si="44"/>
        <v>0</v>
      </c>
      <c r="K50" s="151"/>
      <c r="L50" s="151">
        <f t="shared" si="45"/>
        <v>0</v>
      </c>
      <c r="M50" s="161"/>
      <c r="N50" s="627"/>
      <c r="O50" s="161"/>
      <c r="P50" s="161"/>
      <c r="Q50" s="161"/>
      <c r="R50" s="1225">
        <v>2</v>
      </c>
      <c r="S50" s="625">
        <f t="shared" si="5"/>
        <v>2</v>
      </c>
      <c r="T50" s="625">
        <f t="shared" si="46"/>
        <v>2</v>
      </c>
      <c r="U50" s="151"/>
      <c r="V50" s="151"/>
      <c r="W50" s="151"/>
      <c r="X50" s="152">
        <f t="shared" si="47"/>
        <v>0</v>
      </c>
      <c r="Y50" s="152"/>
      <c r="Z50" s="152">
        <f t="shared" si="48"/>
        <v>0.25</v>
      </c>
      <c r="AA50" s="152"/>
      <c r="AB50" s="152">
        <f t="shared" si="49"/>
        <v>2.5000000000000001E-2</v>
      </c>
      <c r="AC50" s="665" t="s">
        <v>1579</v>
      </c>
      <c r="AD50" s="1127" t="s">
        <v>2481</v>
      </c>
      <c r="AE50" s="1127" t="s">
        <v>2481</v>
      </c>
      <c r="AF50" s="1127" t="s">
        <v>2481</v>
      </c>
      <c r="AG50" s="1128" t="s">
        <v>2481</v>
      </c>
      <c r="AH50" s="1128" t="s">
        <v>2481</v>
      </c>
      <c r="AI50" s="1126" t="s">
        <v>2594</v>
      </c>
    </row>
    <row r="51" spans="1:35" ht="97.95" customHeight="1" thickBot="1" x14ac:dyDescent="0.45">
      <c r="A51" s="140"/>
      <c r="B51" s="1017" t="s">
        <v>1149</v>
      </c>
      <c r="C51" s="1018" t="s">
        <v>1150</v>
      </c>
      <c r="D51" s="164" t="s">
        <v>1151</v>
      </c>
      <c r="E51" s="110">
        <v>0.25</v>
      </c>
      <c r="F51" s="150">
        <v>100</v>
      </c>
      <c r="G51" s="161"/>
      <c r="H51" s="161">
        <v>30</v>
      </c>
      <c r="I51" s="151"/>
      <c r="J51" s="151">
        <f t="shared" si="44"/>
        <v>0.3</v>
      </c>
      <c r="K51" s="151"/>
      <c r="L51" s="151">
        <f t="shared" si="45"/>
        <v>7.4999999999999997E-2</v>
      </c>
      <c r="M51" s="161"/>
      <c r="N51" s="627">
        <v>21</v>
      </c>
      <c r="O51" s="627">
        <v>0</v>
      </c>
      <c r="P51" s="627">
        <v>0</v>
      </c>
      <c r="Q51" s="627">
        <v>8</v>
      </c>
      <c r="R51" s="627">
        <v>1</v>
      </c>
      <c r="S51" s="625">
        <f t="shared" si="5"/>
        <v>30</v>
      </c>
      <c r="T51" s="625">
        <f t="shared" si="46"/>
        <v>30</v>
      </c>
      <c r="U51" s="151"/>
      <c r="V51" s="152">
        <f t="shared" ref="V51" si="50">+S51/H51</f>
        <v>1</v>
      </c>
      <c r="W51" s="152"/>
      <c r="X51" s="152">
        <f t="shared" si="47"/>
        <v>0.25</v>
      </c>
      <c r="Y51" s="152"/>
      <c r="Z51" s="152">
        <f t="shared" si="48"/>
        <v>0.3</v>
      </c>
      <c r="AA51" s="152"/>
      <c r="AB51" s="152">
        <f>+Z51*E51</f>
        <v>7.4999999999999997E-2</v>
      </c>
      <c r="AC51" s="659" t="s">
        <v>1850</v>
      </c>
      <c r="AD51" s="1127" t="s">
        <v>1893</v>
      </c>
      <c r="AE51" s="1127" t="s">
        <v>2278</v>
      </c>
      <c r="AF51" s="1127" t="s">
        <v>2297</v>
      </c>
      <c r="AG51" s="1128" t="s">
        <v>2412</v>
      </c>
      <c r="AH51" s="1128" t="s">
        <v>2447</v>
      </c>
      <c r="AI51" s="1087" t="s">
        <v>2568</v>
      </c>
    </row>
    <row r="52" spans="1:35" ht="122.4" customHeight="1" thickBot="1" x14ac:dyDescent="0.45">
      <c r="A52" s="140"/>
      <c r="B52" s="1017" t="s">
        <v>1152</v>
      </c>
      <c r="C52" s="1018" t="s">
        <v>1153</v>
      </c>
      <c r="D52" s="158" t="s">
        <v>1151</v>
      </c>
      <c r="E52" s="110">
        <v>0.2</v>
      </c>
      <c r="F52" s="150">
        <v>100</v>
      </c>
      <c r="G52" s="161"/>
      <c r="H52" s="161">
        <v>30</v>
      </c>
      <c r="I52" s="151"/>
      <c r="J52" s="151">
        <f t="shared" si="44"/>
        <v>0.3</v>
      </c>
      <c r="K52" s="151"/>
      <c r="L52" s="151">
        <f t="shared" si="45"/>
        <v>0.06</v>
      </c>
      <c r="M52" s="161"/>
      <c r="N52" s="627">
        <v>0</v>
      </c>
      <c r="O52" s="627">
        <v>32</v>
      </c>
      <c r="P52" s="627">
        <v>0</v>
      </c>
      <c r="Q52" s="627">
        <v>8</v>
      </c>
      <c r="R52" s="627">
        <v>0</v>
      </c>
      <c r="S52" s="625">
        <f t="shared" si="5"/>
        <v>40</v>
      </c>
      <c r="T52" s="625">
        <f t="shared" si="46"/>
        <v>40</v>
      </c>
      <c r="U52" s="151"/>
      <c r="V52" s="152">
        <v>1</v>
      </c>
      <c r="W52" s="152"/>
      <c r="X52" s="152">
        <f t="shared" si="47"/>
        <v>0.2</v>
      </c>
      <c r="Y52" s="152"/>
      <c r="Z52" s="152">
        <f t="shared" si="48"/>
        <v>0.4</v>
      </c>
      <c r="AA52" s="152"/>
      <c r="AB52" s="152">
        <f t="shared" si="49"/>
        <v>8.0000000000000016E-2</v>
      </c>
      <c r="AC52" s="659" t="s">
        <v>1850</v>
      </c>
      <c r="AD52" s="1126" t="s">
        <v>1920</v>
      </c>
      <c r="AE52" s="1127" t="s">
        <v>2278</v>
      </c>
      <c r="AF52" s="1127" t="s">
        <v>2297</v>
      </c>
      <c r="AG52" s="1128" t="s">
        <v>2412</v>
      </c>
      <c r="AH52" s="1128" t="s">
        <v>2447</v>
      </c>
      <c r="AI52" s="1087" t="s">
        <v>2568</v>
      </c>
    </row>
    <row r="53" spans="1:35" ht="15.75" customHeight="1" thickBot="1" x14ac:dyDescent="0.45">
      <c r="A53" s="138"/>
      <c r="B53" s="138"/>
      <c r="C53" s="138"/>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67"/>
      <c r="AD53" s="153"/>
      <c r="AE53" s="153"/>
      <c r="AF53" s="153"/>
      <c r="AG53" s="153"/>
      <c r="AH53" s="153"/>
      <c r="AI53" s="138"/>
    </row>
    <row r="54" spans="1:35" ht="15.75" customHeight="1" thickBot="1" x14ac:dyDescent="0.45">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57"/>
      <c r="AD54" s="138"/>
      <c r="AE54" s="138"/>
      <c r="AF54" s="138"/>
      <c r="AG54" s="138"/>
      <c r="AH54" s="138"/>
      <c r="AI54" s="138"/>
    </row>
    <row r="55" spans="1:35" ht="15.75" customHeight="1" thickBot="1" x14ac:dyDescent="0.45">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57"/>
      <c r="AD55" s="138"/>
      <c r="AE55" s="138"/>
      <c r="AF55" s="138"/>
      <c r="AG55" s="138"/>
      <c r="AH55" s="138"/>
      <c r="AI55" s="138"/>
    </row>
    <row r="56" spans="1:35" ht="15.75" customHeight="1" x14ac:dyDescent="0.4">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57"/>
      <c r="AD56" s="138"/>
      <c r="AE56" s="138"/>
      <c r="AF56" s="138"/>
      <c r="AG56" s="138"/>
      <c r="AH56" s="138"/>
      <c r="AI56" s="138"/>
    </row>
    <row r="57" spans="1:35" ht="15.75" customHeight="1" x14ac:dyDescent="0.4">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57"/>
      <c r="AD57" s="138"/>
      <c r="AE57" s="138"/>
      <c r="AF57" s="138"/>
      <c r="AG57" s="138"/>
      <c r="AH57" s="138"/>
      <c r="AI57" s="138"/>
    </row>
    <row r="58" spans="1:35" ht="15.75" customHeight="1" x14ac:dyDescent="0.4">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57"/>
      <c r="AD58" s="138"/>
      <c r="AE58" s="138"/>
      <c r="AF58" s="138"/>
      <c r="AG58" s="138"/>
      <c r="AH58" s="138"/>
      <c r="AI58" s="138"/>
    </row>
    <row r="59" spans="1:35" ht="15.75" customHeight="1" x14ac:dyDescent="0.4">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57"/>
      <c r="AD59" s="138"/>
      <c r="AE59" s="138"/>
      <c r="AF59" s="138"/>
      <c r="AG59" s="138"/>
      <c r="AH59" s="138"/>
      <c r="AI59" s="138"/>
    </row>
    <row r="60" spans="1:35" ht="15.75" customHeight="1" x14ac:dyDescent="0.4">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57"/>
      <c r="AD60" s="138"/>
      <c r="AE60" s="138"/>
      <c r="AF60" s="138"/>
      <c r="AG60" s="138"/>
      <c r="AH60" s="138"/>
      <c r="AI60" s="138"/>
    </row>
    <row r="61" spans="1:35" ht="15.75" customHeight="1" x14ac:dyDescent="0.4">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57"/>
      <c r="AD61" s="138"/>
      <c r="AE61" s="138"/>
      <c r="AF61" s="138"/>
      <c r="AG61" s="138"/>
      <c r="AH61" s="138"/>
      <c r="AI61" s="138"/>
    </row>
    <row r="62" spans="1:35" ht="15.75" customHeight="1" x14ac:dyDescent="0.4">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57"/>
      <c r="AD62" s="138"/>
      <c r="AE62" s="138"/>
      <c r="AF62" s="138"/>
      <c r="AG62" s="138"/>
      <c r="AH62" s="138"/>
      <c r="AI62" s="138"/>
    </row>
    <row r="63" spans="1:35" ht="15.75" customHeight="1" x14ac:dyDescent="0.4">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57"/>
      <c r="AD63" s="138"/>
      <c r="AE63" s="138"/>
      <c r="AF63" s="138"/>
      <c r="AG63" s="138"/>
      <c r="AH63" s="138"/>
      <c r="AI63" s="138"/>
    </row>
    <row r="64" spans="1:35" ht="15.75" customHeight="1" x14ac:dyDescent="0.4">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57"/>
      <c r="AD64" s="138"/>
      <c r="AE64" s="138"/>
      <c r="AF64" s="138"/>
      <c r="AG64" s="138"/>
      <c r="AH64" s="138"/>
      <c r="AI64" s="138"/>
    </row>
    <row r="65" spans="1:35" ht="15.75" customHeight="1" x14ac:dyDescent="0.4">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57"/>
      <c r="AD65" s="138"/>
      <c r="AE65" s="138"/>
      <c r="AF65" s="138"/>
      <c r="AG65" s="138"/>
      <c r="AH65" s="138"/>
      <c r="AI65" s="138"/>
    </row>
    <row r="66" spans="1:35" ht="15.75" customHeight="1" x14ac:dyDescent="0.4">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57"/>
      <c r="AD66" s="138"/>
      <c r="AE66" s="138"/>
      <c r="AF66" s="138"/>
      <c r="AG66" s="138"/>
      <c r="AH66" s="138"/>
      <c r="AI66" s="138"/>
    </row>
    <row r="67" spans="1:35" ht="15.75" customHeight="1" x14ac:dyDescent="0.4">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57"/>
      <c r="AD67" s="138"/>
      <c r="AE67" s="138"/>
      <c r="AF67" s="138"/>
      <c r="AG67" s="138"/>
      <c r="AH67" s="138"/>
      <c r="AI67" s="138"/>
    </row>
    <row r="68" spans="1:35" ht="15.75" customHeight="1" x14ac:dyDescent="0.4">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57"/>
      <c r="AD68" s="138"/>
      <c r="AE68" s="138"/>
      <c r="AF68" s="138"/>
      <c r="AG68" s="138"/>
      <c r="AH68" s="138"/>
      <c r="AI68" s="138"/>
    </row>
    <row r="69" spans="1:35" ht="15.75" customHeight="1" x14ac:dyDescent="0.4">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57"/>
      <c r="AD69" s="138"/>
      <c r="AE69" s="138"/>
      <c r="AF69" s="138"/>
      <c r="AG69" s="138"/>
      <c r="AH69" s="138"/>
      <c r="AI69" s="138"/>
    </row>
    <row r="70" spans="1:35" ht="15.75" customHeight="1" x14ac:dyDescent="0.4">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57"/>
      <c r="AD70" s="138"/>
      <c r="AE70" s="138"/>
      <c r="AF70" s="138"/>
      <c r="AG70" s="138"/>
      <c r="AH70" s="138"/>
      <c r="AI70" s="138"/>
    </row>
    <row r="71" spans="1:35" ht="15.75" customHeight="1" x14ac:dyDescent="0.4">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57"/>
      <c r="AD71" s="138"/>
      <c r="AE71" s="138"/>
      <c r="AF71" s="138"/>
      <c r="AG71" s="138"/>
      <c r="AH71" s="138"/>
      <c r="AI71" s="138"/>
    </row>
    <row r="72" spans="1:35" ht="15.75" customHeight="1" x14ac:dyDescent="0.4">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57"/>
      <c r="AD72" s="138"/>
      <c r="AE72" s="138"/>
      <c r="AF72" s="138"/>
      <c r="AG72" s="138"/>
      <c r="AH72" s="138"/>
      <c r="AI72" s="138"/>
    </row>
    <row r="73" spans="1:35" ht="15.75" customHeight="1" x14ac:dyDescent="0.4">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57"/>
      <c r="AD73" s="138"/>
      <c r="AE73" s="138"/>
      <c r="AF73" s="138"/>
      <c r="AG73" s="138"/>
      <c r="AH73" s="138"/>
      <c r="AI73" s="138"/>
    </row>
    <row r="74" spans="1:35" ht="15.75" customHeight="1" x14ac:dyDescent="0.4">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57"/>
      <c r="AD74" s="138"/>
      <c r="AE74" s="138"/>
      <c r="AF74" s="138"/>
      <c r="AG74" s="138"/>
      <c r="AH74" s="138"/>
      <c r="AI74" s="138"/>
    </row>
    <row r="75" spans="1:35" ht="15.75" customHeight="1" x14ac:dyDescent="0.4">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57"/>
      <c r="AD75" s="138"/>
      <c r="AE75" s="138"/>
      <c r="AF75" s="138"/>
      <c r="AG75" s="138"/>
      <c r="AH75" s="138"/>
      <c r="AI75" s="138"/>
    </row>
    <row r="76" spans="1:35" ht="15.75" customHeight="1" x14ac:dyDescent="0.4">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57"/>
      <c r="AD76" s="138"/>
      <c r="AE76" s="138"/>
      <c r="AF76" s="138"/>
      <c r="AG76" s="138"/>
      <c r="AH76" s="138"/>
      <c r="AI76" s="138"/>
    </row>
    <row r="77" spans="1:35" ht="15.75" customHeight="1" x14ac:dyDescent="0.4">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57"/>
      <c r="AD77" s="138"/>
      <c r="AE77" s="138"/>
      <c r="AF77" s="138"/>
      <c r="AG77" s="138"/>
      <c r="AH77" s="138"/>
      <c r="AI77" s="138"/>
    </row>
    <row r="78" spans="1:35" ht="15.75" customHeight="1" x14ac:dyDescent="0.4">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57"/>
      <c r="AD78" s="138"/>
      <c r="AE78" s="138"/>
      <c r="AF78" s="138"/>
      <c r="AG78" s="138"/>
      <c r="AH78" s="138"/>
      <c r="AI78" s="138"/>
    </row>
    <row r="79" spans="1:35" ht="15.75" customHeight="1" x14ac:dyDescent="0.4">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57"/>
      <c r="AD79" s="138"/>
      <c r="AE79" s="138"/>
      <c r="AF79" s="138"/>
      <c r="AG79" s="138"/>
      <c r="AH79" s="138"/>
      <c r="AI79" s="138"/>
    </row>
    <row r="80" spans="1:35" ht="15.75" customHeight="1" x14ac:dyDescent="0.4">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57"/>
      <c r="AD80" s="138"/>
      <c r="AE80" s="138"/>
      <c r="AF80" s="138"/>
      <c r="AG80" s="138"/>
      <c r="AH80" s="138"/>
      <c r="AI80" s="138"/>
    </row>
    <row r="81" spans="1:35" ht="15.75" customHeight="1" x14ac:dyDescent="0.4">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57"/>
      <c r="AD81" s="138"/>
      <c r="AE81" s="138"/>
      <c r="AF81" s="138"/>
      <c r="AG81" s="138"/>
      <c r="AH81" s="138"/>
      <c r="AI81" s="138"/>
    </row>
    <row r="82" spans="1:35" ht="15.75" customHeight="1" x14ac:dyDescent="0.4">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57"/>
      <c r="AD82" s="138"/>
      <c r="AE82" s="138"/>
      <c r="AF82" s="138"/>
      <c r="AG82" s="138"/>
      <c r="AH82" s="138"/>
      <c r="AI82" s="138"/>
    </row>
    <row r="83" spans="1:35" ht="15.75" customHeight="1" x14ac:dyDescent="0.4">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57"/>
      <c r="AD83" s="138"/>
      <c r="AE83" s="138"/>
      <c r="AF83" s="138"/>
      <c r="AG83" s="138"/>
      <c r="AH83" s="138"/>
      <c r="AI83" s="138"/>
    </row>
    <row r="84" spans="1:35" ht="15.75" customHeight="1" x14ac:dyDescent="0.4">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57"/>
      <c r="AD84" s="138"/>
      <c r="AE84" s="138"/>
      <c r="AF84" s="138"/>
      <c r="AG84" s="138"/>
      <c r="AH84" s="138"/>
      <c r="AI84" s="138"/>
    </row>
    <row r="85" spans="1:35" ht="15.75" customHeight="1" x14ac:dyDescent="0.4">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57"/>
      <c r="AD85" s="138"/>
      <c r="AE85" s="138"/>
      <c r="AF85" s="138"/>
      <c r="AG85" s="138"/>
      <c r="AH85" s="138"/>
      <c r="AI85" s="138"/>
    </row>
    <row r="86" spans="1:35" ht="15.75" customHeight="1" x14ac:dyDescent="0.4">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57"/>
      <c r="AD86" s="138"/>
      <c r="AE86" s="138"/>
      <c r="AF86" s="138"/>
      <c r="AG86" s="138"/>
      <c r="AH86" s="138"/>
      <c r="AI86" s="138"/>
    </row>
    <row r="87" spans="1:35" ht="15.75" customHeight="1" x14ac:dyDescent="0.4">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57"/>
      <c r="AD87" s="138"/>
      <c r="AE87" s="138"/>
      <c r="AF87" s="138"/>
      <c r="AG87" s="138"/>
      <c r="AH87" s="138"/>
      <c r="AI87" s="138"/>
    </row>
    <row r="88" spans="1:35" ht="15.75" customHeight="1" x14ac:dyDescent="0.4">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57"/>
      <c r="AD88" s="138"/>
      <c r="AE88" s="138"/>
      <c r="AF88" s="138"/>
      <c r="AG88" s="138"/>
      <c r="AH88" s="138"/>
      <c r="AI88" s="138"/>
    </row>
    <row r="89" spans="1:35" ht="15.75" customHeight="1" x14ac:dyDescent="0.4">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57"/>
      <c r="AD89" s="138"/>
      <c r="AE89" s="138"/>
      <c r="AF89" s="138"/>
      <c r="AG89" s="138"/>
      <c r="AH89" s="138"/>
      <c r="AI89" s="138"/>
    </row>
    <row r="90" spans="1:35" ht="15.75" customHeight="1" x14ac:dyDescent="0.4">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57"/>
      <c r="AD90" s="138"/>
      <c r="AE90" s="138"/>
      <c r="AF90" s="138"/>
      <c r="AG90" s="138"/>
      <c r="AH90" s="138"/>
      <c r="AI90" s="138"/>
    </row>
    <row r="91" spans="1:35" ht="15.75" customHeight="1" x14ac:dyDescent="0.4">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57"/>
      <c r="AD91" s="138"/>
      <c r="AE91" s="138"/>
      <c r="AF91" s="138"/>
      <c r="AG91" s="138"/>
      <c r="AH91" s="138"/>
      <c r="AI91" s="138"/>
    </row>
    <row r="92" spans="1:35" ht="15.75" customHeight="1" x14ac:dyDescent="0.4">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57"/>
      <c r="AD92" s="138"/>
      <c r="AE92" s="138"/>
      <c r="AF92" s="138"/>
      <c r="AG92" s="138"/>
      <c r="AH92" s="138"/>
      <c r="AI92" s="138"/>
    </row>
    <row r="93" spans="1:35" ht="15.75" customHeight="1" x14ac:dyDescent="0.4">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57"/>
      <c r="AD93" s="138"/>
      <c r="AE93" s="138"/>
      <c r="AF93" s="138"/>
      <c r="AG93" s="138"/>
      <c r="AH93" s="138"/>
      <c r="AI93" s="138"/>
    </row>
    <row r="94" spans="1:35" ht="15.75" customHeight="1" x14ac:dyDescent="0.4">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57"/>
      <c r="AD94" s="138"/>
      <c r="AE94" s="138"/>
      <c r="AF94" s="138"/>
      <c r="AG94" s="138"/>
      <c r="AH94" s="138"/>
      <c r="AI94" s="138"/>
    </row>
    <row r="95" spans="1:35" ht="15.75" customHeight="1" x14ac:dyDescent="0.4">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57"/>
      <c r="AD95" s="138"/>
      <c r="AE95" s="138"/>
      <c r="AF95" s="138"/>
      <c r="AG95" s="138"/>
      <c r="AH95" s="138"/>
      <c r="AI95" s="138"/>
    </row>
    <row r="96" spans="1:35" ht="15.75" customHeight="1" x14ac:dyDescent="0.4">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57"/>
      <c r="AD96" s="138"/>
      <c r="AE96" s="138"/>
      <c r="AF96" s="138"/>
      <c r="AG96" s="138"/>
      <c r="AH96" s="138"/>
      <c r="AI96" s="138"/>
    </row>
    <row r="97" spans="1:35" ht="15.75" customHeight="1" x14ac:dyDescent="0.4">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57"/>
      <c r="AD97" s="138"/>
      <c r="AE97" s="138"/>
      <c r="AF97" s="138"/>
      <c r="AG97" s="138"/>
      <c r="AH97" s="138"/>
      <c r="AI97" s="138"/>
    </row>
    <row r="98" spans="1:35" ht="15.75" customHeight="1" x14ac:dyDescent="0.4">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57"/>
      <c r="AD98" s="138"/>
      <c r="AE98" s="138"/>
      <c r="AF98" s="138"/>
      <c r="AG98" s="138"/>
      <c r="AH98" s="138"/>
      <c r="AI98" s="138"/>
    </row>
    <row r="99" spans="1:35" ht="15.75" customHeight="1" x14ac:dyDescent="0.4">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57"/>
      <c r="AD99" s="138"/>
      <c r="AE99" s="138"/>
      <c r="AF99" s="138"/>
      <c r="AG99" s="138"/>
      <c r="AH99" s="138"/>
      <c r="AI99" s="138"/>
    </row>
    <row r="100" spans="1:35" ht="15.75" customHeight="1" x14ac:dyDescent="0.4">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57"/>
      <c r="AD100" s="138"/>
      <c r="AE100" s="138"/>
      <c r="AF100" s="138"/>
      <c r="AG100" s="138"/>
      <c r="AH100" s="138"/>
      <c r="AI100" s="138"/>
    </row>
    <row r="101" spans="1:35" ht="15.75" customHeight="1" x14ac:dyDescent="0.4">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57"/>
      <c r="AD101" s="138"/>
      <c r="AE101" s="138"/>
      <c r="AF101" s="138"/>
      <c r="AG101" s="138"/>
      <c r="AH101" s="138"/>
      <c r="AI101" s="138"/>
    </row>
    <row r="102" spans="1:35" ht="15.75" customHeight="1" x14ac:dyDescent="0.4">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57"/>
      <c r="AD102" s="138"/>
      <c r="AE102" s="138"/>
      <c r="AF102" s="138"/>
      <c r="AG102" s="138"/>
      <c r="AH102" s="138"/>
      <c r="AI102" s="138"/>
    </row>
    <row r="103" spans="1:35" ht="15.75" customHeight="1" x14ac:dyDescent="0.4">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57"/>
      <c r="AD103" s="138"/>
      <c r="AE103" s="138"/>
      <c r="AF103" s="138"/>
      <c r="AG103" s="138"/>
      <c r="AH103" s="138"/>
      <c r="AI103" s="138"/>
    </row>
    <row r="104" spans="1:35" ht="15.75" customHeight="1" x14ac:dyDescent="0.4">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57"/>
      <c r="AD104" s="138"/>
      <c r="AE104" s="138"/>
      <c r="AF104" s="138"/>
      <c r="AG104" s="138"/>
      <c r="AH104" s="138"/>
      <c r="AI104" s="138"/>
    </row>
    <row r="105" spans="1:35" ht="15.75" customHeight="1" x14ac:dyDescent="0.4">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57"/>
      <c r="AD105" s="138"/>
      <c r="AE105" s="138"/>
      <c r="AF105" s="138"/>
      <c r="AG105" s="138"/>
      <c r="AH105" s="138"/>
      <c r="AI105" s="138"/>
    </row>
    <row r="106" spans="1:35" ht="15.75" customHeight="1" x14ac:dyDescent="0.4">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57"/>
      <c r="AD106" s="138"/>
      <c r="AE106" s="138"/>
      <c r="AF106" s="138"/>
      <c r="AG106" s="138"/>
      <c r="AH106" s="138"/>
      <c r="AI106" s="138"/>
    </row>
    <row r="107" spans="1:35" ht="15.75" customHeight="1" x14ac:dyDescent="0.4">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57"/>
      <c r="AD107" s="138"/>
      <c r="AE107" s="138"/>
      <c r="AF107" s="138"/>
      <c r="AG107" s="138"/>
      <c r="AH107" s="138"/>
      <c r="AI107" s="138"/>
    </row>
    <row r="108" spans="1:35" ht="15.75" customHeight="1" x14ac:dyDescent="0.4">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57"/>
      <c r="AD108" s="138"/>
      <c r="AE108" s="138"/>
      <c r="AF108" s="138"/>
      <c r="AG108" s="138"/>
      <c r="AH108" s="138"/>
      <c r="AI108" s="138"/>
    </row>
    <row r="109" spans="1:35" ht="15.75" customHeight="1" x14ac:dyDescent="0.4">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57"/>
      <c r="AD109" s="138"/>
      <c r="AE109" s="138"/>
      <c r="AF109" s="138"/>
      <c r="AG109" s="138"/>
      <c r="AH109" s="138"/>
      <c r="AI109" s="138"/>
    </row>
    <row r="110" spans="1:35" ht="15.75" customHeight="1" x14ac:dyDescent="0.4">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57"/>
      <c r="AD110" s="138"/>
      <c r="AE110" s="138"/>
      <c r="AF110" s="138"/>
      <c r="AG110" s="138"/>
      <c r="AH110" s="138"/>
      <c r="AI110" s="138"/>
    </row>
    <row r="111" spans="1:35" ht="15.75" customHeight="1" x14ac:dyDescent="0.4">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57"/>
      <c r="AD111" s="138"/>
      <c r="AE111" s="138"/>
      <c r="AF111" s="138"/>
      <c r="AG111" s="138"/>
      <c r="AH111" s="138"/>
      <c r="AI111" s="138"/>
    </row>
    <row r="112" spans="1:35" ht="15.75" customHeight="1" x14ac:dyDescent="0.4">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57"/>
      <c r="AD112" s="138"/>
      <c r="AE112" s="138"/>
      <c r="AF112" s="138"/>
      <c r="AG112" s="138"/>
      <c r="AH112" s="138"/>
      <c r="AI112" s="138"/>
    </row>
    <row r="113" spans="1:35" ht="15.75" customHeight="1" x14ac:dyDescent="0.4">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57"/>
      <c r="AD113" s="138"/>
      <c r="AE113" s="138"/>
      <c r="AF113" s="138"/>
      <c r="AG113" s="138"/>
      <c r="AH113" s="138"/>
      <c r="AI113" s="138"/>
    </row>
    <row r="114" spans="1:35" ht="15.75" customHeight="1" x14ac:dyDescent="0.4">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57"/>
      <c r="AD114" s="138"/>
      <c r="AE114" s="138"/>
      <c r="AF114" s="138"/>
      <c r="AG114" s="138"/>
      <c r="AH114" s="138"/>
      <c r="AI114" s="138"/>
    </row>
    <row r="115" spans="1:35" ht="15.75" customHeight="1" x14ac:dyDescent="0.4">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57"/>
      <c r="AD115" s="138"/>
      <c r="AE115" s="138"/>
      <c r="AF115" s="138"/>
      <c r="AG115" s="138"/>
      <c r="AH115" s="138"/>
      <c r="AI115" s="138"/>
    </row>
    <row r="116" spans="1:35" ht="15.75" customHeight="1" x14ac:dyDescent="0.4">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57"/>
      <c r="AD116" s="138"/>
      <c r="AE116" s="138"/>
      <c r="AF116" s="138"/>
      <c r="AG116" s="138"/>
      <c r="AH116" s="138"/>
      <c r="AI116" s="138"/>
    </row>
    <row r="117" spans="1:35" ht="15.75" customHeight="1" x14ac:dyDescent="0.4">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57"/>
      <c r="AD117" s="138"/>
      <c r="AE117" s="138"/>
      <c r="AF117" s="138"/>
      <c r="AG117" s="138"/>
      <c r="AH117" s="138"/>
      <c r="AI117" s="138"/>
    </row>
    <row r="118" spans="1:35" ht="15.75" customHeight="1" x14ac:dyDescent="0.4">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57"/>
      <c r="AD118" s="138"/>
      <c r="AE118" s="138"/>
      <c r="AF118" s="138"/>
      <c r="AG118" s="138"/>
      <c r="AH118" s="138"/>
      <c r="AI118" s="138"/>
    </row>
    <row r="119" spans="1:35" ht="15.75" customHeight="1" x14ac:dyDescent="0.4">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57"/>
      <c r="AD119" s="138"/>
      <c r="AE119" s="138"/>
      <c r="AF119" s="138"/>
      <c r="AG119" s="138"/>
      <c r="AH119" s="138"/>
      <c r="AI119" s="138"/>
    </row>
    <row r="120" spans="1:35" ht="15.75" customHeight="1" x14ac:dyDescent="0.4">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57"/>
      <c r="AD120" s="138"/>
      <c r="AE120" s="138"/>
      <c r="AF120" s="138"/>
      <c r="AG120" s="138"/>
      <c r="AH120" s="138"/>
      <c r="AI120" s="138"/>
    </row>
    <row r="121" spans="1:35" ht="15.75" customHeight="1" x14ac:dyDescent="0.4">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57"/>
      <c r="AD121" s="138"/>
      <c r="AE121" s="138"/>
      <c r="AF121" s="138"/>
      <c r="AG121" s="138"/>
      <c r="AH121" s="138"/>
      <c r="AI121" s="138"/>
    </row>
    <row r="122" spans="1:35" ht="15.75" customHeight="1" x14ac:dyDescent="0.4">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57"/>
      <c r="AD122" s="138"/>
      <c r="AE122" s="138"/>
      <c r="AF122" s="138"/>
      <c r="AG122" s="138"/>
      <c r="AH122" s="138"/>
      <c r="AI122" s="138"/>
    </row>
    <row r="123" spans="1:35" ht="15.75" customHeight="1" x14ac:dyDescent="0.4">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57"/>
      <c r="AD123" s="138"/>
      <c r="AE123" s="138"/>
      <c r="AF123" s="138"/>
      <c r="AG123" s="138"/>
      <c r="AH123" s="138"/>
      <c r="AI123" s="138"/>
    </row>
    <row r="124" spans="1:35" ht="15.75" customHeight="1" x14ac:dyDescent="0.4">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57"/>
      <c r="AD124" s="138"/>
      <c r="AE124" s="138"/>
      <c r="AF124" s="138"/>
      <c r="AG124" s="138"/>
      <c r="AH124" s="138"/>
      <c r="AI124" s="138"/>
    </row>
    <row r="125" spans="1:35" ht="15.75" customHeight="1" x14ac:dyDescent="0.4">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57"/>
      <c r="AD125" s="138"/>
      <c r="AE125" s="138"/>
      <c r="AF125" s="138"/>
      <c r="AG125" s="138"/>
      <c r="AH125" s="138"/>
      <c r="AI125" s="138"/>
    </row>
    <row r="126" spans="1:35" ht="15.75" customHeight="1" x14ac:dyDescent="0.4">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57"/>
      <c r="AD126" s="138"/>
      <c r="AE126" s="138"/>
      <c r="AF126" s="138"/>
      <c r="AG126" s="138"/>
      <c r="AH126" s="138"/>
      <c r="AI126" s="138"/>
    </row>
    <row r="127" spans="1:35" ht="15.75" customHeight="1" x14ac:dyDescent="0.4">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57"/>
      <c r="AD127" s="138"/>
      <c r="AE127" s="138"/>
      <c r="AF127" s="138"/>
      <c r="AG127" s="138"/>
      <c r="AH127" s="138"/>
      <c r="AI127" s="138"/>
    </row>
    <row r="128" spans="1:35" ht="15.75" customHeight="1" x14ac:dyDescent="0.4">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57"/>
      <c r="AD128" s="138"/>
      <c r="AE128" s="138"/>
      <c r="AF128" s="138"/>
      <c r="AG128" s="138"/>
      <c r="AH128" s="138"/>
      <c r="AI128" s="138"/>
    </row>
    <row r="129" spans="1:35" ht="15.75" customHeight="1" x14ac:dyDescent="0.4">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57"/>
      <c r="AD129" s="138"/>
      <c r="AE129" s="138"/>
      <c r="AF129" s="138"/>
      <c r="AG129" s="138"/>
      <c r="AH129" s="138"/>
      <c r="AI129" s="138"/>
    </row>
    <row r="130" spans="1:35" ht="15.75" customHeight="1" x14ac:dyDescent="0.4">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57"/>
      <c r="AD130" s="138"/>
      <c r="AE130" s="138"/>
      <c r="AF130" s="138"/>
      <c r="AG130" s="138"/>
      <c r="AH130" s="138"/>
      <c r="AI130" s="138"/>
    </row>
    <row r="131" spans="1:35" ht="15.75" customHeight="1" x14ac:dyDescent="0.4">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57"/>
      <c r="AD131" s="138"/>
      <c r="AE131" s="138"/>
      <c r="AF131" s="138"/>
      <c r="AG131" s="138"/>
      <c r="AH131" s="138"/>
      <c r="AI131" s="138"/>
    </row>
    <row r="132" spans="1:35" ht="15.75" customHeight="1" x14ac:dyDescent="0.4">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57"/>
      <c r="AD132" s="138"/>
      <c r="AE132" s="138"/>
      <c r="AF132" s="138"/>
      <c r="AG132" s="138"/>
      <c r="AH132" s="138"/>
      <c r="AI132" s="138"/>
    </row>
    <row r="133" spans="1:35" ht="15.75" customHeight="1" x14ac:dyDescent="0.4">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57"/>
      <c r="AD133" s="138"/>
      <c r="AE133" s="138"/>
      <c r="AF133" s="138"/>
      <c r="AG133" s="138"/>
      <c r="AH133" s="138"/>
      <c r="AI133" s="138"/>
    </row>
    <row r="134" spans="1:35" ht="15.75" customHeight="1" x14ac:dyDescent="0.4">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57"/>
      <c r="AD134" s="138"/>
      <c r="AE134" s="138"/>
      <c r="AF134" s="138"/>
      <c r="AG134" s="138"/>
      <c r="AH134" s="138"/>
      <c r="AI134" s="138"/>
    </row>
    <row r="135" spans="1:35" ht="15.75" customHeight="1" x14ac:dyDescent="0.4">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57"/>
      <c r="AD135" s="138"/>
      <c r="AE135" s="138"/>
      <c r="AF135" s="138"/>
      <c r="AG135" s="138"/>
      <c r="AH135" s="138"/>
      <c r="AI135" s="138"/>
    </row>
    <row r="136" spans="1:35" ht="15.75" customHeight="1" x14ac:dyDescent="0.4">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57"/>
      <c r="AD136" s="138"/>
      <c r="AE136" s="138"/>
      <c r="AF136" s="138"/>
      <c r="AG136" s="138"/>
      <c r="AH136" s="138"/>
      <c r="AI136" s="138"/>
    </row>
    <row r="137" spans="1:35" ht="15.75" customHeight="1" x14ac:dyDescent="0.4">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57"/>
      <c r="AD137" s="138"/>
      <c r="AE137" s="138"/>
      <c r="AF137" s="138"/>
      <c r="AG137" s="138"/>
      <c r="AH137" s="138"/>
      <c r="AI137" s="138"/>
    </row>
    <row r="138" spans="1:35" ht="15.75" customHeight="1" x14ac:dyDescent="0.4">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57"/>
      <c r="AD138" s="138"/>
      <c r="AE138" s="138"/>
      <c r="AF138" s="138"/>
      <c r="AG138" s="138"/>
      <c r="AH138" s="138"/>
      <c r="AI138" s="138"/>
    </row>
    <row r="139" spans="1:35" ht="15.75" customHeight="1" x14ac:dyDescent="0.4">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57"/>
      <c r="AD139" s="138"/>
      <c r="AE139" s="138"/>
      <c r="AF139" s="138"/>
      <c r="AG139" s="138"/>
      <c r="AH139" s="138"/>
      <c r="AI139" s="138"/>
    </row>
    <row r="140" spans="1:35" ht="15.75" customHeight="1" x14ac:dyDescent="0.4">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57"/>
      <c r="AD140" s="138"/>
      <c r="AE140" s="138"/>
      <c r="AF140" s="138"/>
      <c r="AG140" s="138"/>
      <c r="AH140" s="138"/>
      <c r="AI140" s="138"/>
    </row>
    <row r="141" spans="1:35" ht="15.75" customHeight="1" x14ac:dyDescent="0.4">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57"/>
      <c r="AD141" s="138"/>
      <c r="AE141" s="138"/>
      <c r="AF141" s="138"/>
      <c r="AG141" s="138"/>
      <c r="AH141" s="138"/>
      <c r="AI141" s="138"/>
    </row>
    <row r="142" spans="1:35" ht="15.75" customHeight="1" x14ac:dyDescent="0.4">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57"/>
      <c r="AD142" s="138"/>
      <c r="AE142" s="138"/>
      <c r="AF142" s="138"/>
      <c r="AG142" s="138"/>
      <c r="AH142" s="138"/>
      <c r="AI142" s="138"/>
    </row>
    <row r="143" spans="1:35" ht="15.75" customHeight="1" x14ac:dyDescent="0.4">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57"/>
      <c r="AD143" s="138"/>
      <c r="AE143" s="138"/>
      <c r="AF143" s="138"/>
      <c r="AG143" s="138"/>
      <c r="AH143" s="138"/>
      <c r="AI143" s="138"/>
    </row>
    <row r="144" spans="1:35" ht="15.75" customHeight="1" x14ac:dyDescent="0.4">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c r="AA144" s="138"/>
      <c r="AB144" s="138"/>
      <c r="AC144" s="157"/>
      <c r="AD144" s="138"/>
      <c r="AE144" s="138"/>
      <c r="AF144" s="138"/>
      <c r="AG144" s="138"/>
      <c r="AH144" s="138"/>
      <c r="AI144" s="138"/>
    </row>
    <row r="145" spans="1:35" ht="15.75" customHeight="1" x14ac:dyDescent="0.4">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57"/>
      <c r="AD145" s="138"/>
      <c r="AE145" s="138"/>
      <c r="AF145" s="138"/>
      <c r="AG145" s="138"/>
      <c r="AH145" s="138"/>
      <c r="AI145" s="138"/>
    </row>
    <row r="146" spans="1:35" ht="15.75" customHeight="1" x14ac:dyDescent="0.4">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57"/>
      <c r="AD146" s="138"/>
      <c r="AE146" s="138"/>
      <c r="AF146" s="138"/>
      <c r="AG146" s="138"/>
      <c r="AH146" s="138"/>
      <c r="AI146" s="138"/>
    </row>
    <row r="147" spans="1:35" ht="15.75" customHeight="1" x14ac:dyDescent="0.4">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57"/>
      <c r="AD147" s="138"/>
      <c r="AE147" s="138"/>
      <c r="AF147" s="138"/>
      <c r="AG147" s="138"/>
      <c r="AH147" s="138"/>
      <c r="AI147" s="138"/>
    </row>
    <row r="148" spans="1:35" ht="15.75" customHeight="1" x14ac:dyDescent="0.4">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C148" s="157"/>
      <c r="AD148" s="138"/>
      <c r="AE148" s="138"/>
      <c r="AF148" s="138"/>
      <c r="AG148" s="138"/>
      <c r="AH148" s="138"/>
      <c r="AI148" s="138"/>
    </row>
    <row r="149" spans="1:35" ht="15.75" customHeight="1" x14ac:dyDescent="0.4">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C149" s="157"/>
      <c r="AD149" s="138"/>
      <c r="AE149" s="138"/>
      <c r="AF149" s="138"/>
      <c r="AG149" s="138"/>
      <c r="AH149" s="138"/>
      <c r="AI149" s="138"/>
    </row>
    <row r="150" spans="1:35" ht="15.75" customHeight="1" x14ac:dyDescent="0.4">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c r="AA150" s="138"/>
      <c r="AB150" s="138"/>
      <c r="AC150" s="157"/>
      <c r="AD150" s="138"/>
      <c r="AE150" s="138"/>
      <c r="AF150" s="138"/>
      <c r="AG150" s="138"/>
      <c r="AH150" s="138"/>
      <c r="AI150" s="138"/>
    </row>
    <row r="151" spans="1:35" ht="15.75" customHeight="1" x14ac:dyDescent="0.4">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c r="AA151" s="138"/>
      <c r="AB151" s="138"/>
      <c r="AC151" s="157"/>
      <c r="AD151" s="138"/>
      <c r="AE151" s="138"/>
      <c r="AF151" s="138"/>
      <c r="AG151" s="138"/>
      <c r="AH151" s="138"/>
      <c r="AI151" s="138"/>
    </row>
    <row r="152" spans="1:35" ht="15.75" customHeight="1" x14ac:dyDescent="0.4">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57"/>
      <c r="AD152" s="138"/>
      <c r="AE152" s="138"/>
      <c r="AF152" s="138"/>
      <c r="AG152" s="138"/>
      <c r="AH152" s="138"/>
      <c r="AI152" s="138"/>
    </row>
    <row r="153" spans="1:35" ht="15.75" customHeight="1" x14ac:dyDescent="0.4">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57"/>
      <c r="AD153" s="138"/>
      <c r="AE153" s="138"/>
      <c r="AF153" s="138"/>
      <c r="AG153" s="138"/>
      <c r="AH153" s="138"/>
      <c r="AI153" s="138"/>
    </row>
    <row r="154" spans="1:35" ht="15.75" customHeight="1" x14ac:dyDescent="0.4">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57"/>
      <c r="AD154" s="138"/>
      <c r="AE154" s="138"/>
      <c r="AF154" s="138"/>
      <c r="AG154" s="138"/>
      <c r="AH154" s="138"/>
      <c r="AI154" s="138"/>
    </row>
    <row r="155" spans="1:35" ht="15.75" customHeight="1" x14ac:dyDescent="0.4">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57"/>
      <c r="AD155" s="138"/>
      <c r="AE155" s="138"/>
      <c r="AF155" s="138"/>
      <c r="AG155" s="138"/>
      <c r="AH155" s="138"/>
      <c r="AI155" s="138"/>
    </row>
    <row r="156" spans="1:35" ht="15.75" customHeight="1" x14ac:dyDescent="0.4">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57"/>
      <c r="AD156" s="138"/>
      <c r="AE156" s="138"/>
      <c r="AF156" s="138"/>
      <c r="AG156" s="138"/>
      <c r="AH156" s="138"/>
      <c r="AI156" s="138"/>
    </row>
    <row r="157" spans="1:35" ht="15.75" customHeight="1" x14ac:dyDescent="0.4">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c r="AA157" s="138"/>
      <c r="AB157" s="138"/>
      <c r="AC157" s="157"/>
      <c r="AD157" s="138"/>
      <c r="AE157" s="138"/>
      <c r="AF157" s="138"/>
      <c r="AG157" s="138"/>
      <c r="AH157" s="138"/>
      <c r="AI157" s="138"/>
    </row>
    <row r="158" spans="1:35" ht="15.75" customHeight="1" x14ac:dyDescent="0.4">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c r="AA158" s="138"/>
      <c r="AB158" s="138"/>
      <c r="AC158" s="157"/>
      <c r="AD158" s="138"/>
      <c r="AE158" s="138"/>
      <c r="AF158" s="138"/>
      <c r="AG158" s="138"/>
      <c r="AH158" s="138"/>
      <c r="AI158" s="138"/>
    </row>
    <row r="159" spans="1:35" ht="15.75" customHeight="1" x14ac:dyDescent="0.4">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c r="AA159" s="138"/>
      <c r="AB159" s="138"/>
      <c r="AC159" s="157"/>
      <c r="AD159" s="138"/>
      <c r="AE159" s="138"/>
      <c r="AF159" s="138"/>
      <c r="AG159" s="138"/>
      <c r="AH159" s="138"/>
      <c r="AI159" s="138"/>
    </row>
    <row r="160" spans="1:35" ht="15.75" customHeight="1" x14ac:dyDescent="0.4">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57"/>
      <c r="AD160" s="138"/>
      <c r="AE160" s="138"/>
      <c r="AF160" s="138"/>
      <c r="AG160" s="138"/>
      <c r="AH160" s="138"/>
      <c r="AI160" s="138"/>
    </row>
    <row r="161" spans="1:35" ht="15.75" customHeight="1" x14ac:dyDescent="0.4">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c r="AA161" s="138"/>
      <c r="AB161" s="138"/>
      <c r="AC161" s="157"/>
      <c r="AD161" s="138"/>
      <c r="AE161" s="138"/>
      <c r="AF161" s="138"/>
      <c r="AG161" s="138"/>
      <c r="AH161" s="138"/>
      <c r="AI161" s="138"/>
    </row>
    <row r="162" spans="1:35" ht="15.75" customHeight="1" x14ac:dyDescent="0.4">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57"/>
      <c r="AD162" s="138"/>
      <c r="AE162" s="138"/>
      <c r="AF162" s="138"/>
      <c r="AG162" s="138"/>
      <c r="AH162" s="138"/>
      <c r="AI162" s="138"/>
    </row>
    <row r="163" spans="1:35" ht="15.75" customHeight="1" x14ac:dyDescent="0.4">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57"/>
      <c r="AD163" s="138"/>
      <c r="AE163" s="138"/>
      <c r="AF163" s="138"/>
      <c r="AG163" s="138"/>
      <c r="AH163" s="138"/>
      <c r="AI163" s="138"/>
    </row>
    <row r="164" spans="1:35" ht="15.75" customHeight="1" x14ac:dyDescent="0.4">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c r="AA164" s="138"/>
      <c r="AB164" s="138"/>
      <c r="AC164" s="157"/>
      <c r="AD164" s="138"/>
      <c r="AE164" s="138"/>
      <c r="AF164" s="138"/>
      <c r="AG164" s="138"/>
      <c r="AH164" s="138"/>
      <c r="AI164" s="138"/>
    </row>
    <row r="165" spans="1:35" ht="15.75" customHeight="1" x14ac:dyDescent="0.4">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57"/>
      <c r="AD165" s="138"/>
      <c r="AE165" s="138"/>
      <c r="AF165" s="138"/>
      <c r="AG165" s="138"/>
      <c r="AH165" s="138"/>
      <c r="AI165" s="138"/>
    </row>
    <row r="166" spans="1:35" ht="15.75" customHeight="1" x14ac:dyDescent="0.4">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57"/>
      <c r="AD166" s="138"/>
      <c r="AE166" s="138"/>
      <c r="AF166" s="138"/>
      <c r="AG166" s="138"/>
      <c r="AH166" s="138"/>
      <c r="AI166" s="138"/>
    </row>
    <row r="167" spans="1:35" ht="15.75" customHeight="1" x14ac:dyDescent="0.4">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57"/>
      <c r="AD167" s="138"/>
      <c r="AE167" s="138"/>
      <c r="AF167" s="138"/>
      <c r="AG167" s="138"/>
      <c r="AH167" s="138"/>
      <c r="AI167" s="138"/>
    </row>
    <row r="168" spans="1:35" ht="15.75" customHeight="1" x14ac:dyDescent="0.4">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57"/>
      <c r="AD168" s="138"/>
      <c r="AE168" s="138"/>
      <c r="AF168" s="138"/>
      <c r="AG168" s="138"/>
      <c r="AH168" s="138"/>
      <c r="AI168" s="138"/>
    </row>
    <row r="169" spans="1:35" ht="15.75" customHeight="1" x14ac:dyDescent="0.4">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c r="AA169" s="138"/>
      <c r="AB169" s="138"/>
      <c r="AC169" s="157"/>
      <c r="AD169" s="138"/>
      <c r="AE169" s="138"/>
      <c r="AF169" s="138"/>
      <c r="AG169" s="138"/>
      <c r="AH169" s="138"/>
      <c r="AI169" s="138"/>
    </row>
    <row r="170" spans="1:35" ht="15.75" customHeight="1" x14ac:dyDescent="0.4">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57"/>
      <c r="AD170" s="138"/>
      <c r="AE170" s="138"/>
      <c r="AF170" s="138"/>
      <c r="AG170" s="138"/>
      <c r="AH170" s="138"/>
      <c r="AI170" s="138"/>
    </row>
    <row r="171" spans="1:35" ht="15.75" customHeight="1" x14ac:dyDescent="0.4">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57"/>
      <c r="AD171" s="138"/>
      <c r="AE171" s="138"/>
      <c r="AF171" s="138"/>
      <c r="AG171" s="138"/>
      <c r="AH171" s="138"/>
      <c r="AI171" s="138"/>
    </row>
    <row r="172" spans="1:35" ht="15.75" customHeight="1" x14ac:dyDescent="0.4">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c r="AA172" s="138"/>
      <c r="AB172" s="138"/>
      <c r="AC172" s="157"/>
      <c r="AD172" s="138"/>
      <c r="AE172" s="138"/>
      <c r="AF172" s="138"/>
      <c r="AG172" s="138"/>
      <c r="AH172" s="138"/>
      <c r="AI172" s="138"/>
    </row>
    <row r="173" spans="1:35" ht="15.75" customHeight="1" x14ac:dyDescent="0.4">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57"/>
      <c r="AD173" s="138"/>
      <c r="AE173" s="138"/>
      <c r="AF173" s="138"/>
      <c r="AG173" s="138"/>
      <c r="AH173" s="138"/>
      <c r="AI173" s="138"/>
    </row>
    <row r="174" spans="1:35" ht="15.75" customHeight="1" x14ac:dyDescent="0.4">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c r="AA174" s="138"/>
      <c r="AB174" s="138"/>
      <c r="AC174" s="157"/>
      <c r="AD174" s="138"/>
      <c r="AE174" s="138"/>
      <c r="AF174" s="138"/>
      <c r="AG174" s="138"/>
      <c r="AH174" s="138"/>
      <c r="AI174" s="138"/>
    </row>
    <row r="175" spans="1:35" ht="15.75" customHeight="1" x14ac:dyDescent="0.4">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57"/>
      <c r="AD175" s="138"/>
      <c r="AE175" s="138"/>
      <c r="AF175" s="138"/>
      <c r="AG175" s="138"/>
      <c r="AH175" s="138"/>
      <c r="AI175" s="138"/>
    </row>
    <row r="176" spans="1:35" ht="15.75" customHeight="1" x14ac:dyDescent="0.4">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57"/>
      <c r="AD176" s="138"/>
      <c r="AE176" s="138"/>
      <c r="AF176" s="138"/>
      <c r="AG176" s="138"/>
      <c r="AH176" s="138"/>
      <c r="AI176" s="138"/>
    </row>
    <row r="177" spans="1:35" ht="15.75" customHeight="1" x14ac:dyDescent="0.4">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57"/>
      <c r="AD177" s="138"/>
      <c r="AE177" s="138"/>
      <c r="AF177" s="138"/>
      <c r="AG177" s="138"/>
      <c r="AH177" s="138"/>
      <c r="AI177" s="138"/>
    </row>
    <row r="178" spans="1:35" ht="15.75" customHeight="1" x14ac:dyDescent="0.4">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57"/>
      <c r="AD178" s="138"/>
      <c r="AE178" s="138"/>
      <c r="AF178" s="138"/>
      <c r="AG178" s="138"/>
      <c r="AH178" s="138"/>
      <c r="AI178" s="138"/>
    </row>
    <row r="179" spans="1:35" ht="15.75" customHeight="1" x14ac:dyDescent="0.4">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57"/>
      <c r="AD179" s="138"/>
      <c r="AE179" s="138"/>
      <c r="AF179" s="138"/>
      <c r="AG179" s="138"/>
      <c r="AH179" s="138"/>
      <c r="AI179" s="138"/>
    </row>
    <row r="180" spans="1:35" ht="15.75" customHeight="1" x14ac:dyDescent="0.4">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57"/>
      <c r="AD180" s="138"/>
      <c r="AE180" s="138"/>
      <c r="AF180" s="138"/>
      <c r="AG180" s="138"/>
      <c r="AH180" s="138"/>
      <c r="AI180" s="138"/>
    </row>
    <row r="181" spans="1:35" ht="15.75" customHeight="1" x14ac:dyDescent="0.4">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57"/>
      <c r="AD181" s="138"/>
      <c r="AE181" s="138"/>
      <c r="AF181" s="138"/>
      <c r="AG181" s="138"/>
      <c r="AH181" s="138"/>
      <c r="AI181" s="138"/>
    </row>
    <row r="182" spans="1:35" ht="15.75" customHeight="1" x14ac:dyDescent="0.4">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57"/>
      <c r="AD182" s="138"/>
      <c r="AE182" s="138"/>
      <c r="AF182" s="138"/>
      <c r="AG182" s="138"/>
      <c r="AH182" s="138"/>
      <c r="AI182" s="138"/>
    </row>
    <row r="183" spans="1:35" ht="15.75" customHeight="1" x14ac:dyDescent="0.4">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57"/>
      <c r="AD183" s="138"/>
      <c r="AE183" s="138"/>
      <c r="AF183" s="138"/>
      <c r="AG183" s="138"/>
      <c r="AH183" s="138"/>
      <c r="AI183" s="138"/>
    </row>
    <row r="184" spans="1:35" ht="15.75" customHeight="1" x14ac:dyDescent="0.4">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57"/>
      <c r="AD184" s="138"/>
      <c r="AE184" s="138"/>
      <c r="AF184" s="138"/>
      <c r="AG184" s="138"/>
      <c r="AH184" s="138"/>
      <c r="AI184" s="138"/>
    </row>
    <row r="185" spans="1:35" ht="15.75" customHeight="1" x14ac:dyDescent="0.4">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57"/>
      <c r="AD185" s="138"/>
      <c r="AE185" s="138"/>
      <c r="AF185" s="138"/>
      <c r="AG185" s="138"/>
      <c r="AH185" s="138"/>
      <c r="AI185" s="138"/>
    </row>
    <row r="186" spans="1:35" ht="15.75" customHeight="1" x14ac:dyDescent="0.4">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57"/>
      <c r="AD186" s="138"/>
      <c r="AE186" s="138"/>
      <c r="AF186" s="138"/>
      <c r="AG186" s="138"/>
      <c r="AH186" s="138"/>
      <c r="AI186" s="138"/>
    </row>
    <row r="187" spans="1:35" ht="15.75" customHeight="1" x14ac:dyDescent="0.4">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57"/>
      <c r="AD187" s="138"/>
      <c r="AE187" s="138"/>
      <c r="AF187" s="138"/>
      <c r="AG187" s="138"/>
      <c r="AH187" s="138"/>
      <c r="AI187" s="138"/>
    </row>
    <row r="188" spans="1:35" ht="15.75" customHeight="1" x14ac:dyDescent="0.4">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57"/>
      <c r="AD188" s="138"/>
      <c r="AE188" s="138"/>
      <c r="AF188" s="138"/>
      <c r="AG188" s="138"/>
      <c r="AH188" s="138"/>
      <c r="AI188" s="138"/>
    </row>
    <row r="189" spans="1:35" ht="15.75" customHeight="1" x14ac:dyDescent="0.4">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57"/>
      <c r="AD189" s="138"/>
      <c r="AE189" s="138"/>
      <c r="AF189" s="138"/>
      <c r="AG189" s="138"/>
      <c r="AH189" s="138"/>
      <c r="AI189" s="138"/>
    </row>
    <row r="190" spans="1:35" ht="15.75" customHeight="1" x14ac:dyDescent="0.4">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57"/>
      <c r="AD190" s="138"/>
      <c r="AE190" s="138"/>
      <c r="AF190" s="138"/>
      <c r="AG190" s="138"/>
      <c r="AH190" s="138"/>
      <c r="AI190" s="138"/>
    </row>
    <row r="191" spans="1:35" ht="15.75" customHeight="1" x14ac:dyDescent="0.4">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57"/>
      <c r="AD191" s="138"/>
      <c r="AE191" s="138"/>
      <c r="AF191" s="138"/>
      <c r="AG191" s="138"/>
      <c r="AH191" s="138"/>
      <c r="AI191" s="138"/>
    </row>
    <row r="192" spans="1:35" ht="15.75" customHeight="1" x14ac:dyDescent="0.4">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c r="AA192" s="138"/>
      <c r="AB192" s="138"/>
      <c r="AC192" s="157"/>
      <c r="AD192" s="138"/>
      <c r="AE192" s="138"/>
      <c r="AF192" s="138"/>
      <c r="AG192" s="138"/>
      <c r="AH192" s="138"/>
      <c r="AI192" s="138"/>
    </row>
    <row r="193" spans="1:35" ht="15.75" customHeight="1" x14ac:dyDescent="0.4">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57"/>
      <c r="AD193" s="138"/>
      <c r="AE193" s="138"/>
      <c r="AF193" s="138"/>
      <c r="AG193" s="138"/>
      <c r="AH193" s="138"/>
      <c r="AI193" s="138"/>
    </row>
    <row r="194" spans="1:35" ht="15.75" customHeight="1" x14ac:dyDescent="0.4">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57"/>
      <c r="AD194" s="138"/>
      <c r="AE194" s="138"/>
      <c r="AF194" s="138"/>
      <c r="AG194" s="138"/>
      <c r="AH194" s="138"/>
      <c r="AI194" s="138"/>
    </row>
    <row r="195" spans="1:35" ht="15.75" customHeight="1" x14ac:dyDescent="0.4">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57"/>
      <c r="AD195" s="138"/>
      <c r="AE195" s="138"/>
      <c r="AF195" s="138"/>
      <c r="AG195" s="138"/>
      <c r="AH195" s="138"/>
      <c r="AI195" s="138"/>
    </row>
    <row r="196" spans="1:35" ht="15.75" customHeight="1" x14ac:dyDescent="0.4">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57"/>
      <c r="AD196" s="138"/>
      <c r="AE196" s="138"/>
      <c r="AF196" s="138"/>
      <c r="AG196" s="138"/>
      <c r="AH196" s="138"/>
      <c r="AI196" s="138"/>
    </row>
    <row r="197" spans="1:35" ht="15.75" customHeight="1" x14ac:dyDescent="0.4">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57"/>
      <c r="AD197" s="138"/>
      <c r="AE197" s="138"/>
      <c r="AF197" s="138"/>
      <c r="AG197" s="138"/>
      <c r="AH197" s="138"/>
      <c r="AI197" s="138"/>
    </row>
    <row r="198" spans="1:35" ht="15.75" customHeight="1" x14ac:dyDescent="0.4">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57"/>
      <c r="AD198" s="138"/>
      <c r="AE198" s="138"/>
      <c r="AF198" s="138"/>
      <c r="AG198" s="138"/>
      <c r="AH198" s="138"/>
      <c r="AI198" s="138"/>
    </row>
    <row r="199" spans="1:35" ht="15.75" customHeight="1" x14ac:dyDescent="0.4">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57"/>
      <c r="AD199" s="138"/>
      <c r="AE199" s="138"/>
      <c r="AF199" s="138"/>
      <c r="AG199" s="138"/>
      <c r="AH199" s="138"/>
      <c r="AI199" s="138"/>
    </row>
    <row r="200" spans="1:35" ht="15.75" customHeight="1" x14ac:dyDescent="0.4">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57"/>
      <c r="AD200" s="138"/>
      <c r="AE200" s="138"/>
      <c r="AF200" s="138"/>
      <c r="AG200" s="138"/>
      <c r="AH200" s="138"/>
      <c r="AI200" s="138"/>
    </row>
    <row r="201" spans="1:35" ht="15.75" customHeight="1" x14ac:dyDescent="0.4">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57"/>
      <c r="AD201" s="138"/>
      <c r="AE201" s="138"/>
      <c r="AF201" s="138"/>
      <c r="AG201" s="138"/>
      <c r="AH201" s="138"/>
      <c r="AI201" s="138"/>
    </row>
    <row r="202" spans="1:35" ht="15.75" customHeight="1" x14ac:dyDescent="0.4">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57"/>
      <c r="AD202" s="138"/>
      <c r="AE202" s="138"/>
      <c r="AF202" s="138"/>
      <c r="AG202" s="138"/>
      <c r="AH202" s="138"/>
      <c r="AI202" s="138"/>
    </row>
    <row r="203" spans="1:35" ht="15.75" customHeight="1" x14ac:dyDescent="0.4">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57"/>
      <c r="AD203" s="138"/>
      <c r="AE203" s="138"/>
      <c r="AF203" s="138"/>
      <c r="AG203" s="138"/>
      <c r="AH203" s="138"/>
      <c r="AI203" s="138"/>
    </row>
    <row r="204" spans="1:35" ht="15.75" customHeight="1" x14ac:dyDescent="0.4">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57"/>
      <c r="AD204" s="138"/>
      <c r="AE204" s="138"/>
      <c r="AF204" s="138"/>
      <c r="AG204" s="138"/>
      <c r="AH204" s="138"/>
      <c r="AI204" s="138"/>
    </row>
    <row r="205" spans="1:35" ht="15.75" customHeight="1" x14ac:dyDescent="0.4">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57"/>
      <c r="AD205" s="138"/>
      <c r="AE205" s="138"/>
      <c r="AF205" s="138"/>
      <c r="AG205" s="138"/>
      <c r="AH205" s="138"/>
      <c r="AI205" s="138"/>
    </row>
    <row r="206" spans="1:35" ht="15.75" customHeight="1" x14ac:dyDescent="0.4">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c r="AA206" s="138"/>
      <c r="AB206" s="138"/>
      <c r="AC206" s="157"/>
      <c r="AD206" s="138"/>
      <c r="AE206" s="138"/>
      <c r="AF206" s="138"/>
      <c r="AG206" s="138"/>
      <c r="AH206" s="138"/>
      <c r="AI206" s="138"/>
    </row>
    <row r="207" spans="1:35" ht="15.75" customHeight="1" x14ac:dyDescent="0.4">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57"/>
      <c r="AD207" s="138"/>
      <c r="AE207" s="138"/>
      <c r="AF207" s="138"/>
      <c r="AG207" s="138"/>
      <c r="AH207" s="138"/>
      <c r="AI207" s="138"/>
    </row>
    <row r="208" spans="1:35" ht="15.75" customHeight="1" x14ac:dyDescent="0.4">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c r="AA208" s="138"/>
      <c r="AB208" s="138"/>
      <c r="AC208" s="157"/>
      <c r="AD208" s="138"/>
      <c r="AE208" s="138"/>
      <c r="AF208" s="138"/>
      <c r="AG208" s="138"/>
      <c r="AH208" s="138"/>
      <c r="AI208" s="138"/>
    </row>
    <row r="209" spans="1:35" ht="15.75" customHeight="1" x14ac:dyDescent="0.4">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57"/>
      <c r="AD209" s="138"/>
      <c r="AE209" s="138"/>
      <c r="AF209" s="138"/>
      <c r="AG209" s="138"/>
      <c r="AH209" s="138"/>
      <c r="AI209" s="138"/>
    </row>
    <row r="210" spans="1:35" ht="15.75" customHeight="1" x14ac:dyDescent="0.4">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57"/>
      <c r="AD210" s="138"/>
      <c r="AE210" s="138"/>
      <c r="AF210" s="138"/>
      <c r="AG210" s="138"/>
      <c r="AH210" s="138"/>
      <c r="AI210" s="138"/>
    </row>
    <row r="211" spans="1:35" ht="15.75" customHeight="1" x14ac:dyDescent="0.4">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57"/>
      <c r="AD211" s="138"/>
      <c r="AE211" s="138"/>
      <c r="AF211" s="138"/>
      <c r="AG211" s="138"/>
      <c r="AH211" s="138"/>
      <c r="AI211" s="138"/>
    </row>
    <row r="212" spans="1:35" ht="15.75" customHeight="1" x14ac:dyDescent="0.4">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57"/>
      <c r="AD212" s="138"/>
      <c r="AE212" s="138"/>
      <c r="AF212" s="138"/>
      <c r="AG212" s="138"/>
      <c r="AH212" s="138"/>
      <c r="AI212" s="138"/>
    </row>
    <row r="213" spans="1:35" ht="15.75" customHeight="1" x14ac:dyDescent="0.4">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57"/>
      <c r="AD213" s="138"/>
      <c r="AE213" s="138"/>
      <c r="AF213" s="138"/>
      <c r="AG213" s="138"/>
      <c r="AH213" s="138"/>
      <c r="AI213" s="138"/>
    </row>
    <row r="214" spans="1:35" ht="15.75" customHeight="1" x14ac:dyDescent="0.4">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c r="AA214" s="138"/>
      <c r="AB214" s="138"/>
      <c r="AC214" s="157"/>
      <c r="AD214" s="138"/>
      <c r="AE214" s="138"/>
      <c r="AF214" s="138"/>
      <c r="AG214" s="138"/>
      <c r="AH214" s="138"/>
      <c r="AI214" s="138"/>
    </row>
    <row r="215" spans="1:35" ht="15.75" customHeight="1" x14ac:dyDescent="0.4">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57"/>
      <c r="AD215" s="138"/>
      <c r="AE215" s="138"/>
      <c r="AF215" s="138"/>
      <c r="AG215" s="138"/>
      <c r="AH215" s="138"/>
      <c r="AI215" s="138"/>
    </row>
    <row r="216" spans="1:35" ht="15.75" customHeight="1" x14ac:dyDescent="0.4">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57"/>
      <c r="AD216" s="138"/>
      <c r="AE216" s="138"/>
      <c r="AF216" s="138"/>
      <c r="AG216" s="138"/>
      <c r="AH216" s="138"/>
      <c r="AI216" s="138"/>
    </row>
    <row r="217" spans="1:35" ht="15.75" customHeight="1" x14ac:dyDescent="0.4">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57"/>
      <c r="AD217" s="138"/>
      <c r="AE217" s="138"/>
      <c r="AF217" s="138"/>
      <c r="AG217" s="138"/>
      <c r="AH217" s="138"/>
      <c r="AI217" s="138"/>
    </row>
    <row r="218" spans="1:35" ht="15.75" customHeight="1" x14ac:dyDescent="0.4">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57"/>
      <c r="AD218" s="138"/>
      <c r="AE218" s="138"/>
      <c r="AF218" s="138"/>
      <c r="AG218" s="138"/>
      <c r="AH218" s="138"/>
      <c r="AI218" s="138"/>
    </row>
    <row r="219" spans="1:35" ht="15.75" customHeight="1" x14ac:dyDescent="0.4">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57"/>
      <c r="AD219" s="138"/>
      <c r="AE219" s="138"/>
      <c r="AF219" s="138"/>
      <c r="AG219" s="138"/>
      <c r="AH219" s="138"/>
      <c r="AI219" s="138"/>
    </row>
    <row r="220" spans="1:35" ht="15.75" customHeight="1" x14ac:dyDescent="0.4">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c r="AA220" s="138"/>
      <c r="AB220" s="138"/>
      <c r="AC220" s="157"/>
      <c r="AD220" s="138"/>
      <c r="AE220" s="138"/>
      <c r="AF220" s="138"/>
      <c r="AG220" s="138"/>
      <c r="AH220" s="138"/>
      <c r="AI220" s="138"/>
    </row>
    <row r="221" spans="1:35" ht="15.75" customHeight="1" x14ac:dyDescent="0.4">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c r="AA221" s="138"/>
      <c r="AB221" s="138"/>
      <c r="AC221" s="157"/>
      <c r="AD221" s="138"/>
      <c r="AE221" s="138"/>
      <c r="AF221" s="138"/>
      <c r="AG221" s="138"/>
      <c r="AH221" s="138"/>
      <c r="AI221" s="138"/>
    </row>
    <row r="222" spans="1:35" ht="15.75" customHeight="1" x14ac:dyDescent="0.4">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c r="AA222" s="138"/>
      <c r="AB222" s="138"/>
      <c r="AC222" s="157"/>
      <c r="AD222" s="138"/>
      <c r="AE222" s="138"/>
      <c r="AF222" s="138"/>
      <c r="AG222" s="138"/>
      <c r="AH222" s="138"/>
      <c r="AI222" s="138"/>
    </row>
    <row r="223" spans="1:35" ht="15.75" customHeight="1" x14ac:dyDescent="0.4">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138"/>
      <c r="AC223" s="157"/>
      <c r="AD223" s="138"/>
      <c r="AE223" s="138"/>
      <c r="AF223" s="138"/>
      <c r="AG223" s="138"/>
      <c r="AH223" s="138"/>
      <c r="AI223" s="138"/>
    </row>
    <row r="224" spans="1:35" ht="15.75" customHeight="1" x14ac:dyDescent="0.4">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57"/>
      <c r="AD224" s="138"/>
      <c r="AE224" s="138"/>
      <c r="AF224" s="138"/>
      <c r="AG224" s="138"/>
      <c r="AH224" s="138"/>
      <c r="AI224" s="138"/>
    </row>
    <row r="225" spans="1:35" ht="15.75" customHeight="1" x14ac:dyDescent="0.4">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57"/>
      <c r="AD225" s="138"/>
      <c r="AE225" s="138"/>
      <c r="AF225" s="138"/>
      <c r="AG225" s="138"/>
      <c r="AH225" s="138"/>
      <c r="AI225" s="138"/>
    </row>
    <row r="226" spans="1:35" ht="15.75" customHeight="1" x14ac:dyDescent="0.4">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c r="AA226" s="138"/>
      <c r="AB226" s="138"/>
      <c r="AC226" s="157"/>
      <c r="AD226" s="138"/>
      <c r="AE226" s="138"/>
      <c r="AF226" s="138"/>
      <c r="AG226" s="138"/>
      <c r="AH226" s="138"/>
      <c r="AI226" s="138"/>
    </row>
    <row r="227" spans="1:35" ht="15.75" customHeight="1" x14ac:dyDescent="0.4">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57"/>
      <c r="AD227" s="138"/>
      <c r="AE227" s="138"/>
      <c r="AF227" s="138"/>
      <c r="AG227" s="138"/>
      <c r="AH227" s="138"/>
      <c r="AI227" s="138"/>
    </row>
    <row r="228" spans="1:35" ht="15.75" customHeight="1" x14ac:dyDescent="0.4">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c r="AA228" s="138"/>
      <c r="AB228" s="138"/>
      <c r="AC228" s="157"/>
      <c r="AD228" s="138"/>
      <c r="AE228" s="138"/>
      <c r="AF228" s="138"/>
      <c r="AG228" s="138"/>
      <c r="AH228" s="138"/>
      <c r="AI228" s="138"/>
    </row>
    <row r="229" spans="1:35" ht="15.75" customHeight="1" x14ac:dyDescent="0.4">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c r="AA229" s="138"/>
      <c r="AB229" s="138"/>
      <c r="AC229" s="157"/>
      <c r="AD229" s="138"/>
      <c r="AE229" s="138"/>
      <c r="AF229" s="138"/>
      <c r="AG229" s="138"/>
      <c r="AH229" s="138"/>
      <c r="AI229" s="138"/>
    </row>
    <row r="230" spans="1:35" ht="15.75" customHeight="1" x14ac:dyDescent="0.4">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c r="AA230" s="138"/>
      <c r="AB230" s="138"/>
      <c r="AC230" s="157"/>
      <c r="AD230" s="138"/>
      <c r="AE230" s="138"/>
      <c r="AF230" s="138"/>
      <c r="AG230" s="138"/>
      <c r="AH230" s="138"/>
      <c r="AI230" s="138"/>
    </row>
    <row r="231" spans="1:35" ht="15.75" customHeight="1" x14ac:dyDescent="0.4">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c r="AA231" s="138"/>
      <c r="AB231" s="138"/>
      <c r="AC231" s="157"/>
      <c r="AD231" s="138"/>
      <c r="AE231" s="138"/>
      <c r="AF231" s="138"/>
      <c r="AG231" s="138"/>
      <c r="AH231" s="138"/>
      <c r="AI231" s="138"/>
    </row>
    <row r="232" spans="1:35" ht="15.75" customHeight="1" x14ac:dyDescent="0.4">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c r="AA232" s="138"/>
      <c r="AB232" s="138"/>
      <c r="AC232" s="157"/>
      <c r="AD232" s="138"/>
      <c r="AE232" s="138"/>
      <c r="AF232" s="138"/>
      <c r="AG232" s="138"/>
      <c r="AH232" s="138"/>
      <c r="AI232" s="138"/>
    </row>
    <row r="233" spans="1:35" ht="15.75" customHeight="1" x14ac:dyDescent="0.4">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57"/>
      <c r="AD233" s="138"/>
      <c r="AE233" s="138"/>
      <c r="AF233" s="138"/>
      <c r="AG233" s="138"/>
      <c r="AH233" s="138"/>
      <c r="AI233" s="138"/>
    </row>
    <row r="234" spans="1:35" ht="15.75" customHeight="1" x14ac:dyDescent="0.4">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c r="AA234" s="138"/>
      <c r="AB234" s="138"/>
      <c r="AC234" s="157"/>
      <c r="AD234" s="138"/>
      <c r="AE234" s="138"/>
      <c r="AF234" s="138"/>
      <c r="AG234" s="138"/>
      <c r="AH234" s="138"/>
      <c r="AI234" s="138"/>
    </row>
    <row r="235" spans="1:35" ht="15.75" customHeight="1" x14ac:dyDescent="0.4">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57"/>
      <c r="AD235" s="138"/>
      <c r="AE235" s="138"/>
      <c r="AF235" s="138"/>
      <c r="AG235" s="138"/>
      <c r="AH235" s="138"/>
      <c r="AI235" s="138"/>
    </row>
    <row r="236" spans="1:35" ht="15.75" customHeight="1" x14ac:dyDescent="0.4">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c r="AA236" s="138"/>
      <c r="AB236" s="138"/>
      <c r="AC236" s="157"/>
      <c r="AD236" s="138"/>
      <c r="AE236" s="138"/>
      <c r="AF236" s="138"/>
      <c r="AG236" s="138"/>
      <c r="AH236" s="138"/>
      <c r="AI236" s="138"/>
    </row>
    <row r="237" spans="1:35" ht="15.75" customHeight="1" x14ac:dyDescent="0.4">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57"/>
      <c r="AD237" s="138"/>
      <c r="AE237" s="138"/>
      <c r="AF237" s="138"/>
      <c r="AG237" s="138"/>
      <c r="AH237" s="138"/>
      <c r="AI237" s="138"/>
    </row>
    <row r="238" spans="1:35" ht="15.75" customHeight="1" x14ac:dyDescent="0.4">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c r="AA238" s="138"/>
      <c r="AB238" s="138"/>
      <c r="AC238" s="157"/>
      <c r="AD238" s="138"/>
      <c r="AE238" s="138"/>
      <c r="AF238" s="138"/>
      <c r="AG238" s="138"/>
      <c r="AH238" s="138"/>
      <c r="AI238" s="138"/>
    </row>
    <row r="239" spans="1:35" ht="15.75" customHeight="1" x14ac:dyDescent="0.4">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57"/>
      <c r="AD239" s="138"/>
      <c r="AE239" s="138"/>
      <c r="AF239" s="138"/>
      <c r="AG239" s="138"/>
      <c r="AH239" s="138"/>
      <c r="AI239" s="138"/>
    </row>
    <row r="240" spans="1:35" ht="15.75" customHeight="1" x14ac:dyDescent="0.4">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57"/>
      <c r="AD240" s="138"/>
      <c r="AE240" s="138"/>
      <c r="AF240" s="138"/>
      <c r="AG240" s="138"/>
      <c r="AH240" s="138"/>
      <c r="AI240" s="138"/>
    </row>
    <row r="241" spans="1:35" ht="15.75" customHeight="1" x14ac:dyDescent="0.4">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138"/>
      <c r="AC241" s="157"/>
      <c r="AD241" s="138"/>
      <c r="AE241" s="138"/>
      <c r="AF241" s="138"/>
      <c r="AG241" s="138"/>
      <c r="AH241" s="138"/>
      <c r="AI241" s="138"/>
    </row>
    <row r="242" spans="1:35" ht="15.75" customHeight="1" x14ac:dyDescent="0.4">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c r="AA242" s="138"/>
      <c r="AB242" s="138"/>
      <c r="AC242" s="157"/>
      <c r="AD242" s="138"/>
      <c r="AE242" s="138"/>
      <c r="AF242" s="138"/>
      <c r="AG242" s="138"/>
      <c r="AH242" s="138"/>
      <c r="AI242" s="138"/>
    </row>
    <row r="243" spans="1:35" ht="15.75" customHeight="1" x14ac:dyDescent="0.4">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c r="AA243" s="138"/>
      <c r="AB243" s="138"/>
      <c r="AC243" s="157"/>
      <c r="AD243" s="138"/>
      <c r="AE243" s="138"/>
      <c r="AF243" s="138"/>
      <c r="AG243" s="138"/>
      <c r="AH243" s="138"/>
      <c r="AI243" s="138"/>
    </row>
    <row r="244" spans="1:35" ht="15.75" customHeight="1" x14ac:dyDescent="0.4">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c r="AA244" s="138"/>
      <c r="AB244" s="138"/>
      <c r="AC244" s="157"/>
      <c r="AD244" s="138"/>
      <c r="AE244" s="138"/>
      <c r="AF244" s="138"/>
      <c r="AG244" s="138"/>
      <c r="AH244" s="138"/>
      <c r="AI244" s="138"/>
    </row>
    <row r="245" spans="1:35" ht="15.75" customHeight="1" x14ac:dyDescent="0.4">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57"/>
      <c r="AD245" s="138"/>
      <c r="AE245" s="138"/>
      <c r="AF245" s="138"/>
      <c r="AG245" s="138"/>
      <c r="AH245" s="138"/>
      <c r="AI245" s="138"/>
    </row>
    <row r="246" spans="1:35" ht="15.75" customHeight="1" x14ac:dyDescent="0.4">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c r="AA246" s="138"/>
      <c r="AB246" s="138"/>
      <c r="AC246" s="157"/>
      <c r="AD246" s="138"/>
      <c r="AE246" s="138"/>
      <c r="AF246" s="138"/>
      <c r="AG246" s="138"/>
      <c r="AH246" s="138"/>
      <c r="AI246" s="138"/>
    </row>
    <row r="247" spans="1:35" ht="15.75" customHeight="1" x14ac:dyDescent="0.4">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57"/>
      <c r="AD247" s="138"/>
      <c r="AE247" s="138"/>
      <c r="AF247" s="138"/>
      <c r="AG247" s="138"/>
      <c r="AH247" s="138"/>
      <c r="AI247" s="138"/>
    </row>
    <row r="248" spans="1:35" ht="15.75" customHeight="1" x14ac:dyDescent="0.4">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c r="AA248" s="138"/>
      <c r="AB248" s="138"/>
      <c r="AC248" s="157"/>
      <c r="AD248" s="138"/>
      <c r="AE248" s="138"/>
      <c r="AF248" s="138"/>
      <c r="AG248" s="138"/>
      <c r="AH248" s="138"/>
      <c r="AI248" s="138"/>
    </row>
    <row r="249" spans="1:35" ht="15.75" customHeight="1" x14ac:dyDescent="0.4">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c r="AA249" s="138"/>
      <c r="AB249" s="138"/>
      <c r="AC249" s="157"/>
      <c r="AD249" s="138"/>
      <c r="AE249" s="138"/>
      <c r="AF249" s="138"/>
      <c r="AG249" s="138"/>
      <c r="AH249" s="138"/>
      <c r="AI249" s="138"/>
    </row>
    <row r="250" spans="1:35" ht="15.75" customHeight="1" x14ac:dyDescent="0.4">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c r="AA250" s="138"/>
      <c r="AB250" s="138"/>
      <c r="AC250" s="157"/>
      <c r="AD250" s="138"/>
      <c r="AE250" s="138"/>
      <c r="AF250" s="138"/>
      <c r="AG250" s="138"/>
      <c r="AH250" s="138"/>
      <c r="AI250" s="138"/>
    </row>
    <row r="251" spans="1:35" ht="15.75" customHeight="1" x14ac:dyDescent="0.4">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c r="AA251" s="138"/>
      <c r="AB251" s="138"/>
      <c r="AC251" s="157"/>
      <c r="AD251" s="138"/>
      <c r="AE251" s="138"/>
      <c r="AF251" s="138"/>
      <c r="AG251" s="138"/>
      <c r="AH251" s="138"/>
      <c r="AI251" s="138"/>
    </row>
    <row r="252" spans="1:35" ht="15.75" customHeight="1" x14ac:dyDescent="0.4">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57"/>
      <c r="AD252" s="138"/>
      <c r="AE252" s="138"/>
      <c r="AF252" s="138"/>
      <c r="AG252" s="138"/>
      <c r="AH252" s="138"/>
      <c r="AI252" s="138"/>
    </row>
    <row r="253" spans="1:35" ht="15.75" customHeight="1" x14ac:dyDescent="0.4"/>
    <row r="254" spans="1:35" ht="15.75" customHeight="1" x14ac:dyDescent="0.4"/>
    <row r="255" spans="1:35" ht="15.75" customHeight="1" x14ac:dyDescent="0.4"/>
    <row r="256" spans="1:35" ht="15.75" customHeight="1" x14ac:dyDescent="0.4"/>
    <row r="257" ht="15.75" customHeight="1" x14ac:dyDescent="0.4"/>
    <row r="258" ht="15.75" customHeight="1" x14ac:dyDescent="0.4"/>
    <row r="259" ht="15.75" customHeight="1" x14ac:dyDescent="0.4"/>
    <row r="260" ht="15.75" customHeight="1" x14ac:dyDescent="0.4"/>
    <row r="261" ht="15.75" customHeight="1" x14ac:dyDescent="0.4"/>
    <row r="262" ht="15.75" customHeight="1" x14ac:dyDescent="0.4"/>
    <row r="263" ht="15.75" customHeight="1" x14ac:dyDescent="0.4"/>
    <row r="264" ht="15.75" customHeight="1" x14ac:dyDescent="0.4"/>
    <row r="265" ht="15.75" customHeight="1" x14ac:dyDescent="0.4"/>
    <row r="266" ht="15.75" customHeight="1" x14ac:dyDescent="0.4"/>
    <row r="267" ht="15.75" customHeight="1" x14ac:dyDescent="0.4"/>
    <row r="268" ht="15.75" customHeight="1" x14ac:dyDescent="0.4"/>
    <row r="269" ht="15.75" customHeight="1" x14ac:dyDescent="0.4"/>
    <row r="270" ht="15.75" customHeight="1" x14ac:dyDescent="0.4"/>
    <row r="271" ht="15.75" customHeight="1" x14ac:dyDescent="0.4"/>
    <row r="272" ht="15.75" customHeight="1" x14ac:dyDescent="0.4"/>
    <row r="273" ht="15.75" customHeight="1" x14ac:dyDescent="0.4"/>
    <row r="274" ht="15.75" customHeight="1" x14ac:dyDescent="0.4"/>
    <row r="275" ht="15.75" customHeight="1" x14ac:dyDescent="0.4"/>
    <row r="276" ht="15.75" customHeight="1" x14ac:dyDescent="0.4"/>
    <row r="277" ht="15.75" customHeight="1" x14ac:dyDescent="0.4"/>
    <row r="278" ht="15.75" customHeight="1" x14ac:dyDescent="0.4"/>
    <row r="279" ht="15.75" customHeight="1" x14ac:dyDescent="0.4"/>
    <row r="280" ht="15.75" customHeight="1" x14ac:dyDescent="0.4"/>
    <row r="281" ht="15.75" customHeight="1" x14ac:dyDescent="0.4"/>
    <row r="282" ht="15.75" customHeight="1" x14ac:dyDescent="0.4"/>
    <row r="283" ht="15.75" customHeight="1" x14ac:dyDescent="0.4"/>
    <row r="284" ht="15.75" customHeight="1" x14ac:dyDescent="0.4"/>
    <row r="285" ht="15.75" customHeight="1" x14ac:dyDescent="0.4"/>
    <row r="286" ht="15.75" customHeight="1" x14ac:dyDescent="0.4"/>
    <row r="287" ht="15.75" customHeight="1" x14ac:dyDescent="0.4"/>
    <row r="288" ht="15.75" customHeight="1" x14ac:dyDescent="0.4"/>
    <row r="289" ht="15.75" customHeight="1" x14ac:dyDescent="0.4"/>
    <row r="290" ht="15.75" customHeight="1" x14ac:dyDescent="0.4"/>
    <row r="291" ht="15.75" customHeight="1" x14ac:dyDescent="0.4"/>
    <row r="292" ht="15.75" customHeight="1" x14ac:dyDescent="0.4"/>
    <row r="293" ht="15.75" customHeight="1" x14ac:dyDescent="0.4"/>
    <row r="294" ht="15.75" customHeight="1" x14ac:dyDescent="0.4"/>
    <row r="295" ht="15.75" customHeight="1" x14ac:dyDescent="0.4"/>
    <row r="296" ht="15.75" customHeight="1" x14ac:dyDescent="0.4"/>
    <row r="297" ht="15.75" customHeight="1" x14ac:dyDescent="0.4"/>
    <row r="298" ht="15.75" customHeight="1" x14ac:dyDescent="0.4"/>
    <row r="299" ht="15.75" customHeight="1" x14ac:dyDescent="0.4"/>
    <row r="300" ht="15.75" customHeight="1" x14ac:dyDescent="0.4"/>
    <row r="301" ht="15.75" customHeight="1" x14ac:dyDescent="0.4"/>
    <row r="302" ht="15.75" customHeight="1" x14ac:dyDescent="0.4"/>
    <row r="303" ht="15.75" customHeight="1" x14ac:dyDescent="0.4"/>
    <row r="304" ht="15.75" customHeight="1" x14ac:dyDescent="0.4"/>
    <row r="305" ht="15.75" customHeight="1" x14ac:dyDescent="0.4"/>
    <row r="306" ht="15.75" customHeight="1" x14ac:dyDescent="0.4"/>
    <row r="307" ht="15.75" customHeight="1" x14ac:dyDescent="0.4"/>
    <row r="308" ht="15.75" customHeight="1" x14ac:dyDescent="0.4"/>
    <row r="309" ht="15.75" customHeight="1" x14ac:dyDescent="0.4"/>
    <row r="310" ht="15.75" customHeight="1" x14ac:dyDescent="0.4"/>
    <row r="311" ht="15.75" customHeight="1" x14ac:dyDescent="0.4"/>
    <row r="312" ht="15.75" customHeight="1" x14ac:dyDescent="0.4"/>
    <row r="313" ht="15.75" customHeight="1" x14ac:dyDescent="0.4"/>
    <row r="314" ht="15.75" customHeight="1" x14ac:dyDescent="0.4"/>
    <row r="315" ht="15.75" customHeight="1" x14ac:dyDescent="0.4"/>
    <row r="316" ht="15.75" customHeight="1" x14ac:dyDescent="0.4"/>
    <row r="317" ht="15.75" customHeight="1" x14ac:dyDescent="0.4"/>
    <row r="318" ht="15.75" customHeight="1" x14ac:dyDescent="0.4"/>
    <row r="319" ht="15.75" customHeight="1" x14ac:dyDescent="0.4"/>
    <row r="320" ht="15.75" customHeight="1" x14ac:dyDescent="0.4"/>
    <row r="321" ht="15.75" customHeight="1" x14ac:dyDescent="0.4"/>
    <row r="322" ht="15.75" customHeight="1" x14ac:dyDescent="0.4"/>
    <row r="323" ht="15.75" customHeight="1" x14ac:dyDescent="0.4"/>
    <row r="324" ht="15.75" customHeight="1" x14ac:dyDescent="0.4"/>
    <row r="325" ht="15.75" customHeight="1" x14ac:dyDescent="0.4"/>
    <row r="326" ht="15.75" customHeight="1" x14ac:dyDescent="0.4"/>
    <row r="327" ht="15.75" customHeight="1" x14ac:dyDescent="0.4"/>
    <row r="328" ht="15.75" customHeight="1" x14ac:dyDescent="0.4"/>
    <row r="329" ht="15.75" customHeight="1" x14ac:dyDescent="0.4"/>
    <row r="330" ht="15.75" customHeight="1" x14ac:dyDescent="0.4"/>
    <row r="331" ht="15.75" customHeight="1" x14ac:dyDescent="0.4"/>
    <row r="332" ht="15.75" customHeight="1" x14ac:dyDescent="0.4"/>
    <row r="333" ht="15.75" customHeight="1" x14ac:dyDescent="0.4"/>
    <row r="334" ht="15.75" customHeight="1" x14ac:dyDescent="0.4"/>
    <row r="335" ht="15.75" customHeight="1" x14ac:dyDescent="0.4"/>
    <row r="336" ht="15.75" customHeight="1" x14ac:dyDescent="0.4"/>
    <row r="337" ht="15.75" customHeight="1" x14ac:dyDescent="0.4"/>
    <row r="338" ht="15.75" customHeight="1" x14ac:dyDescent="0.4"/>
    <row r="339" ht="15.75" customHeight="1" x14ac:dyDescent="0.4"/>
    <row r="340" ht="15.75" customHeight="1" x14ac:dyDescent="0.4"/>
    <row r="341" ht="15.75" customHeight="1" x14ac:dyDescent="0.4"/>
    <row r="342" ht="15.75" customHeight="1" x14ac:dyDescent="0.4"/>
    <row r="343" ht="15.75" customHeight="1" x14ac:dyDescent="0.4"/>
    <row r="344" ht="15.75" customHeight="1" x14ac:dyDescent="0.4"/>
    <row r="345" ht="15.75" customHeight="1" x14ac:dyDescent="0.4"/>
    <row r="346" ht="15.75" customHeight="1" x14ac:dyDescent="0.4"/>
    <row r="347" ht="15.75" customHeight="1" x14ac:dyDescent="0.4"/>
    <row r="348" ht="15.75" customHeight="1" x14ac:dyDescent="0.4"/>
    <row r="349" ht="15.75" customHeight="1" x14ac:dyDescent="0.4"/>
    <row r="350" ht="15.75" customHeight="1" x14ac:dyDescent="0.4"/>
    <row r="351" ht="15.75" customHeight="1" x14ac:dyDescent="0.4"/>
    <row r="352" ht="15.75" customHeight="1" x14ac:dyDescent="0.4"/>
    <row r="353" ht="15.75" customHeight="1" x14ac:dyDescent="0.4"/>
    <row r="354" ht="15.75" customHeight="1" x14ac:dyDescent="0.4"/>
    <row r="355" ht="15.75" customHeight="1" x14ac:dyDescent="0.4"/>
    <row r="356" ht="15.75" customHeight="1" x14ac:dyDescent="0.4"/>
    <row r="357" ht="15.75" customHeight="1" x14ac:dyDescent="0.4"/>
    <row r="358" ht="15.75" customHeight="1" x14ac:dyDescent="0.4"/>
    <row r="359" ht="15.75" customHeight="1" x14ac:dyDescent="0.4"/>
    <row r="360" ht="15.75" customHeight="1" x14ac:dyDescent="0.4"/>
    <row r="361" ht="15.75" customHeight="1" x14ac:dyDescent="0.4"/>
    <row r="362" ht="15.75" customHeight="1" x14ac:dyDescent="0.4"/>
    <row r="363" ht="15.75" customHeight="1" x14ac:dyDescent="0.4"/>
    <row r="364" ht="15.75" customHeight="1" x14ac:dyDescent="0.4"/>
    <row r="365" ht="15.75" customHeight="1" x14ac:dyDescent="0.4"/>
    <row r="366" ht="15.75" customHeight="1" x14ac:dyDescent="0.4"/>
    <row r="367" ht="15.75" customHeight="1" x14ac:dyDescent="0.4"/>
    <row r="368" ht="15.75" customHeight="1" x14ac:dyDescent="0.4"/>
    <row r="369" ht="15.75" customHeight="1" x14ac:dyDescent="0.4"/>
    <row r="370" ht="15.75" customHeight="1" x14ac:dyDescent="0.4"/>
    <row r="371" ht="15.75" customHeight="1" x14ac:dyDescent="0.4"/>
    <row r="372" ht="15.75" customHeight="1" x14ac:dyDescent="0.4"/>
    <row r="373" ht="15.75" customHeight="1" x14ac:dyDescent="0.4"/>
    <row r="374" ht="15.75" customHeight="1" x14ac:dyDescent="0.4"/>
    <row r="375" ht="15.75" customHeight="1" x14ac:dyDescent="0.4"/>
    <row r="376" ht="15.75" customHeight="1" x14ac:dyDescent="0.4"/>
    <row r="377" ht="15.75" customHeight="1" x14ac:dyDescent="0.4"/>
    <row r="378" ht="15.75" customHeight="1" x14ac:dyDescent="0.4"/>
    <row r="379" ht="15.75" customHeight="1" x14ac:dyDescent="0.4"/>
    <row r="380" ht="15.75" customHeight="1" x14ac:dyDescent="0.4"/>
    <row r="381" ht="15.75" customHeight="1" x14ac:dyDescent="0.4"/>
    <row r="382" ht="15.75" customHeight="1" x14ac:dyDescent="0.4"/>
    <row r="383" ht="15.75" customHeight="1" x14ac:dyDescent="0.4"/>
    <row r="384" ht="15.75" customHeight="1" x14ac:dyDescent="0.4"/>
    <row r="385" ht="15.75" customHeight="1" x14ac:dyDescent="0.4"/>
    <row r="386" ht="15.75" customHeight="1" x14ac:dyDescent="0.4"/>
    <row r="387" ht="15.75" customHeight="1" x14ac:dyDescent="0.4"/>
    <row r="388" ht="15.75" customHeight="1" x14ac:dyDescent="0.4"/>
    <row r="389" ht="15.75" customHeight="1" x14ac:dyDescent="0.4"/>
    <row r="390" ht="15.75" customHeight="1" x14ac:dyDescent="0.4"/>
    <row r="391" ht="15.75" customHeight="1" x14ac:dyDescent="0.4"/>
    <row r="392" ht="15.75" customHeight="1" x14ac:dyDescent="0.4"/>
    <row r="393" ht="15.75" customHeight="1" x14ac:dyDescent="0.4"/>
    <row r="394" ht="15.75" customHeight="1" x14ac:dyDescent="0.4"/>
    <row r="395" ht="15.75" customHeight="1" x14ac:dyDescent="0.4"/>
    <row r="396" ht="15.75" customHeight="1" x14ac:dyDescent="0.4"/>
    <row r="397" ht="15.75" customHeight="1" x14ac:dyDescent="0.4"/>
    <row r="398" ht="15.75" customHeight="1" x14ac:dyDescent="0.4"/>
    <row r="399" ht="15.75" customHeight="1" x14ac:dyDescent="0.4"/>
    <row r="400" ht="15.75" customHeight="1" x14ac:dyDescent="0.4"/>
    <row r="401" ht="15.75" customHeight="1" x14ac:dyDescent="0.4"/>
    <row r="402" ht="15.75" customHeight="1" x14ac:dyDescent="0.4"/>
    <row r="403" ht="15.75" customHeight="1" x14ac:dyDescent="0.4"/>
    <row r="404" ht="15.75" customHeight="1" x14ac:dyDescent="0.4"/>
    <row r="405" ht="15.75" customHeight="1" x14ac:dyDescent="0.4"/>
    <row r="406" ht="15.75" customHeight="1" x14ac:dyDescent="0.4"/>
    <row r="407" ht="15.75" customHeight="1" x14ac:dyDescent="0.4"/>
    <row r="408" ht="15.75" customHeight="1" x14ac:dyDescent="0.4"/>
    <row r="409" ht="15.75" customHeight="1" x14ac:dyDescent="0.4"/>
    <row r="410" ht="15.75" customHeight="1" x14ac:dyDescent="0.4"/>
    <row r="411" ht="15.75" customHeight="1" x14ac:dyDescent="0.4"/>
    <row r="412" ht="15.75" customHeight="1" x14ac:dyDescent="0.4"/>
    <row r="413" ht="15.75" customHeight="1" x14ac:dyDescent="0.4"/>
    <row r="414" ht="15.75" customHeight="1" x14ac:dyDescent="0.4"/>
    <row r="415" ht="15.75" customHeight="1" x14ac:dyDescent="0.4"/>
    <row r="416" ht="15.75" customHeight="1" x14ac:dyDescent="0.4"/>
    <row r="417" ht="15.75" customHeight="1" x14ac:dyDescent="0.4"/>
    <row r="418" ht="15.75" customHeight="1" x14ac:dyDescent="0.4"/>
    <row r="419" ht="15.75" customHeight="1" x14ac:dyDescent="0.4"/>
    <row r="420" ht="15.75" customHeight="1" x14ac:dyDescent="0.4"/>
    <row r="421" ht="15.75" customHeight="1" x14ac:dyDescent="0.4"/>
    <row r="422" ht="15.75" customHeight="1" x14ac:dyDescent="0.4"/>
    <row r="423" ht="15.75" customHeight="1" x14ac:dyDescent="0.4"/>
    <row r="424" ht="15.75" customHeight="1" x14ac:dyDescent="0.4"/>
    <row r="425" ht="15.75" customHeight="1" x14ac:dyDescent="0.4"/>
    <row r="426" ht="15.75" customHeight="1" x14ac:dyDescent="0.4"/>
    <row r="427" ht="15.75" customHeight="1" x14ac:dyDescent="0.4"/>
    <row r="428" ht="15.75" customHeight="1" x14ac:dyDescent="0.4"/>
    <row r="429" ht="15.75" customHeight="1" x14ac:dyDescent="0.4"/>
    <row r="430" ht="15.75" customHeight="1" x14ac:dyDescent="0.4"/>
    <row r="431" ht="15.75" customHeight="1" x14ac:dyDescent="0.4"/>
    <row r="432" ht="15.75" customHeight="1" x14ac:dyDescent="0.4"/>
    <row r="433" ht="15.75" customHeight="1" x14ac:dyDescent="0.4"/>
    <row r="434" ht="15.75" customHeight="1" x14ac:dyDescent="0.4"/>
    <row r="435" ht="15.75" customHeight="1" x14ac:dyDescent="0.4"/>
    <row r="436" ht="15.75" customHeight="1" x14ac:dyDescent="0.4"/>
    <row r="437" ht="15.75" customHeight="1" x14ac:dyDescent="0.4"/>
    <row r="438" ht="15.75" customHeight="1" x14ac:dyDescent="0.4"/>
    <row r="439" ht="15.75" customHeight="1" x14ac:dyDescent="0.4"/>
    <row r="440" ht="15.75" customHeight="1" x14ac:dyDescent="0.4"/>
    <row r="441" ht="15.75" customHeight="1" x14ac:dyDescent="0.4"/>
    <row r="442" ht="15.75" customHeight="1" x14ac:dyDescent="0.4"/>
    <row r="443" ht="15.75" customHeight="1" x14ac:dyDescent="0.4"/>
    <row r="444" ht="15.75" customHeight="1" x14ac:dyDescent="0.4"/>
    <row r="445" ht="15.75" customHeight="1" x14ac:dyDescent="0.4"/>
    <row r="446" ht="15.75" customHeight="1" x14ac:dyDescent="0.4"/>
    <row r="447" ht="15.75" customHeight="1" x14ac:dyDescent="0.4"/>
    <row r="448" ht="15.75" customHeight="1" x14ac:dyDescent="0.4"/>
    <row r="449" ht="15.75" customHeight="1" x14ac:dyDescent="0.4"/>
    <row r="450" ht="15.75" customHeight="1" x14ac:dyDescent="0.4"/>
    <row r="451" ht="15.75" customHeight="1" x14ac:dyDescent="0.4"/>
    <row r="452" ht="15.75" customHeight="1" x14ac:dyDescent="0.4"/>
    <row r="453" ht="15.75" customHeight="1" x14ac:dyDescent="0.4"/>
    <row r="454" ht="15.75" customHeight="1" x14ac:dyDescent="0.4"/>
    <row r="455" ht="15.75" customHeight="1" x14ac:dyDescent="0.4"/>
    <row r="456" ht="15.75" customHeight="1" x14ac:dyDescent="0.4"/>
    <row r="457" ht="15.75" customHeight="1" x14ac:dyDescent="0.4"/>
    <row r="458" ht="15.75" customHeight="1" x14ac:dyDescent="0.4"/>
    <row r="459" ht="15.75" customHeight="1" x14ac:dyDescent="0.4"/>
    <row r="460" ht="15.75" customHeight="1" x14ac:dyDescent="0.4"/>
    <row r="461" ht="15.75" customHeight="1" x14ac:dyDescent="0.4"/>
    <row r="462" ht="15.75" customHeight="1" x14ac:dyDescent="0.4"/>
    <row r="463" ht="15.75" customHeight="1" x14ac:dyDescent="0.4"/>
    <row r="464" ht="15.75" customHeight="1" x14ac:dyDescent="0.4"/>
    <row r="465" ht="15.75" customHeight="1" x14ac:dyDescent="0.4"/>
    <row r="466" ht="15.75" customHeight="1" x14ac:dyDescent="0.4"/>
    <row r="467" ht="15.75" customHeight="1" x14ac:dyDescent="0.4"/>
    <row r="468" ht="15.75" customHeight="1" x14ac:dyDescent="0.4"/>
    <row r="469" ht="15.75" customHeight="1" x14ac:dyDescent="0.4"/>
    <row r="470" ht="15.75" customHeight="1" x14ac:dyDescent="0.4"/>
    <row r="471" ht="15.75" customHeight="1" x14ac:dyDescent="0.4"/>
    <row r="472" ht="15.75" customHeight="1" x14ac:dyDescent="0.4"/>
    <row r="473" ht="15.75" customHeight="1" x14ac:dyDescent="0.4"/>
    <row r="474" ht="15.75" customHeight="1" x14ac:dyDescent="0.4"/>
    <row r="475" ht="15.75" customHeight="1" x14ac:dyDescent="0.4"/>
    <row r="476" ht="15.75" customHeight="1" x14ac:dyDescent="0.4"/>
    <row r="477" ht="15.75" customHeight="1" x14ac:dyDescent="0.4"/>
    <row r="478" ht="15.75" customHeight="1" x14ac:dyDescent="0.4"/>
    <row r="479" ht="15.75" customHeight="1" x14ac:dyDescent="0.4"/>
    <row r="480" ht="15.75" customHeight="1" x14ac:dyDescent="0.4"/>
    <row r="481" ht="15.75" customHeight="1" x14ac:dyDescent="0.4"/>
    <row r="482" ht="15.75" customHeight="1" x14ac:dyDescent="0.4"/>
    <row r="483" ht="15.75" customHeight="1" x14ac:dyDescent="0.4"/>
    <row r="484" ht="15.75" customHeight="1" x14ac:dyDescent="0.4"/>
    <row r="485" ht="15.75" customHeight="1" x14ac:dyDescent="0.4"/>
    <row r="486" ht="15.75" customHeight="1" x14ac:dyDescent="0.4"/>
    <row r="487" ht="15.75" customHeight="1" x14ac:dyDescent="0.4"/>
    <row r="488" ht="15.75" customHeight="1" x14ac:dyDescent="0.4"/>
    <row r="489" ht="15.75" customHeight="1" x14ac:dyDescent="0.4"/>
    <row r="490" ht="15.75" customHeight="1" x14ac:dyDescent="0.4"/>
    <row r="491" ht="15.75" customHeight="1" x14ac:dyDescent="0.4"/>
    <row r="492" ht="15.75" customHeight="1" x14ac:dyDescent="0.4"/>
    <row r="493" ht="15.75" customHeight="1" x14ac:dyDescent="0.4"/>
    <row r="494" ht="15.75" customHeight="1" x14ac:dyDescent="0.4"/>
    <row r="495" ht="15.75" customHeight="1" x14ac:dyDescent="0.4"/>
    <row r="496" ht="15.75" customHeight="1" x14ac:dyDescent="0.4"/>
    <row r="497" ht="15.75" customHeight="1" x14ac:dyDescent="0.4"/>
    <row r="498" ht="15.75" customHeight="1" x14ac:dyDescent="0.4"/>
    <row r="499" ht="15.75" customHeight="1" x14ac:dyDescent="0.4"/>
    <row r="500" ht="15.75" customHeight="1" x14ac:dyDescent="0.4"/>
    <row r="501" ht="15.75" customHeight="1" x14ac:dyDescent="0.4"/>
    <row r="502" ht="15.75" customHeight="1" x14ac:dyDescent="0.4"/>
    <row r="503" ht="15.75" customHeight="1" x14ac:dyDescent="0.4"/>
    <row r="504" ht="15.75" customHeight="1" x14ac:dyDescent="0.4"/>
    <row r="505" ht="15.75" customHeight="1" x14ac:dyDescent="0.4"/>
    <row r="506" ht="15.75" customHeight="1" x14ac:dyDescent="0.4"/>
    <row r="507" ht="15.75" customHeight="1" x14ac:dyDescent="0.4"/>
    <row r="508" ht="15.75" customHeight="1" x14ac:dyDescent="0.4"/>
    <row r="509" ht="15.75" customHeight="1" x14ac:dyDescent="0.4"/>
    <row r="510" ht="15.75" customHeight="1" x14ac:dyDescent="0.4"/>
    <row r="511" ht="15.75" customHeight="1" x14ac:dyDescent="0.4"/>
    <row r="512" ht="15.75" customHeight="1" x14ac:dyDescent="0.4"/>
    <row r="513" ht="15.75" customHeight="1" x14ac:dyDescent="0.4"/>
    <row r="514" ht="15.75" customHeight="1" x14ac:dyDescent="0.4"/>
    <row r="515" ht="15.75" customHeight="1" x14ac:dyDescent="0.4"/>
    <row r="516" ht="15.75" customHeight="1" x14ac:dyDescent="0.4"/>
    <row r="517" ht="15.75" customHeight="1" x14ac:dyDescent="0.4"/>
    <row r="518" ht="15.75" customHeight="1" x14ac:dyDescent="0.4"/>
    <row r="519" ht="15.75" customHeight="1" x14ac:dyDescent="0.4"/>
    <row r="520" ht="15.75" customHeight="1" x14ac:dyDescent="0.4"/>
    <row r="521" ht="15.75" customHeight="1" x14ac:dyDescent="0.4"/>
    <row r="522" ht="15.75" customHeight="1" x14ac:dyDescent="0.4"/>
    <row r="523" ht="15.75" customHeight="1" x14ac:dyDescent="0.4"/>
    <row r="524" ht="15.75" customHeight="1" x14ac:dyDescent="0.4"/>
    <row r="525" ht="15.75" customHeight="1" x14ac:dyDescent="0.4"/>
    <row r="526" ht="15.75" customHeight="1" x14ac:dyDescent="0.4"/>
    <row r="527" ht="15.75" customHeight="1" x14ac:dyDescent="0.4"/>
    <row r="528" ht="15.75" customHeight="1" x14ac:dyDescent="0.4"/>
    <row r="529" ht="15.75" customHeight="1" x14ac:dyDescent="0.4"/>
    <row r="530" ht="15.75" customHeight="1" x14ac:dyDescent="0.4"/>
    <row r="531" ht="15.75" customHeight="1" x14ac:dyDescent="0.4"/>
    <row r="532" ht="15.75" customHeight="1" x14ac:dyDescent="0.4"/>
    <row r="533" ht="15.75" customHeight="1" x14ac:dyDescent="0.4"/>
    <row r="534" ht="15.75" customHeight="1" x14ac:dyDescent="0.4"/>
    <row r="535" ht="15.75" customHeight="1" x14ac:dyDescent="0.4"/>
    <row r="536" ht="15.75" customHeight="1" x14ac:dyDescent="0.4"/>
    <row r="537" ht="15.75" customHeight="1" x14ac:dyDescent="0.4"/>
    <row r="538" ht="15.75" customHeight="1" x14ac:dyDescent="0.4"/>
    <row r="539" ht="15.75" customHeight="1" x14ac:dyDescent="0.4"/>
    <row r="540" ht="15.75" customHeight="1" x14ac:dyDescent="0.4"/>
    <row r="541" ht="15.75" customHeight="1" x14ac:dyDescent="0.4"/>
    <row r="542" ht="15.75" customHeight="1" x14ac:dyDescent="0.4"/>
    <row r="543" ht="15.75" customHeight="1" x14ac:dyDescent="0.4"/>
    <row r="544" ht="15.75" customHeight="1" x14ac:dyDescent="0.4"/>
    <row r="545" ht="15.75" customHeight="1" x14ac:dyDescent="0.4"/>
    <row r="546" ht="15.75" customHeight="1" x14ac:dyDescent="0.4"/>
    <row r="547" ht="15.75" customHeight="1" x14ac:dyDescent="0.4"/>
    <row r="548" ht="15.75" customHeight="1" x14ac:dyDescent="0.4"/>
    <row r="549" ht="15.75" customHeight="1" x14ac:dyDescent="0.4"/>
    <row r="550" ht="15.75" customHeight="1" x14ac:dyDescent="0.4"/>
    <row r="551" ht="15.75" customHeight="1" x14ac:dyDescent="0.4"/>
    <row r="552" ht="15.75" customHeight="1" x14ac:dyDescent="0.4"/>
    <row r="553" ht="15.75" customHeight="1" x14ac:dyDescent="0.4"/>
    <row r="554" ht="15.75" customHeight="1" x14ac:dyDescent="0.4"/>
    <row r="555" ht="15.75" customHeight="1" x14ac:dyDescent="0.4"/>
    <row r="556" ht="15.75" customHeight="1" x14ac:dyDescent="0.4"/>
    <row r="557" ht="15.75" customHeight="1" x14ac:dyDescent="0.4"/>
    <row r="558" ht="15.75" customHeight="1" x14ac:dyDescent="0.4"/>
    <row r="559" ht="15.75" customHeight="1" x14ac:dyDescent="0.4"/>
    <row r="560" ht="15.75" customHeight="1" x14ac:dyDescent="0.4"/>
    <row r="561" ht="15.75" customHeight="1" x14ac:dyDescent="0.4"/>
    <row r="562" ht="15.75" customHeight="1" x14ac:dyDescent="0.4"/>
    <row r="563" ht="15.75" customHeight="1" x14ac:dyDescent="0.4"/>
    <row r="564" ht="15.75" customHeight="1" x14ac:dyDescent="0.4"/>
    <row r="565" ht="15.75" customHeight="1" x14ac:dyDescent="0.4"/>
    <row r="566" ht="15.75" customHeight="1" x14ac:dyDescent="0.4"/>
    <row r="567" ht="15.75" customHeight="1" x14ac:dyDescent="0.4"/>
    <row r="568" ht="15.75" customHeight="1" x14ac:dyDescent="0.4"/>
    <row r="569" ht="15.75" customHeight="1" x14ac:dyDescent="0.4"/>
    <row r="570" ht="15.75" customHeight="1" x14ac:dyDescent="0.4"/>
    <row r="571" ht="15.75" customHeight="1" x14ac:dyDescent="0.4"/>
    <row r="572" ht="15.75" customHeight="1" x14ac:dyDescent="0.4"/>
    <row r="573" ht="15.75" customHeight="1" x14ac:dyDescent="0.4"/>
    <row r="574" ht="15.75" customHeight="1" x14ac:dyDescent="0.4"/>
    <row r="575" ht="15.75" customHeight="1" x14ac:dyDescent="0.4"/>
    <row r="576" ht="15.75" customHeight="1" x14ac:dyDescent="0.4"/>
    <row r="577" ht="15.75" customHeight="1" x14ac:dyDescent="0.4"/>
    <row r="578" ht="15.75" customHeight="1" x14ac:dyDescent="0.4"/>
    <row r="579" ht="15.75" customHeight="1" x14ac:dyDescent="0.4"/>
    <row r="580" ht="15.75" customHeight="1" x14ac:dyDescent="0.4"/>
    <row r="581" ht="15.75" customHeight="1" x14ac:dyDescent="0.4"/>
    <row r="582" ht="15.75" customHeight="1" x14ac:dyDescent="0.4"/>
    <row r="583" ht="15.75" customHeight="1" x14ac:dyDescent="0.4"/>
    <row r="584" ht="15.75" customHeight="1" x14ac:dyDescent="0.4"/>
    <row r="585" ht="15.75" customHeight="1" x14ac:dyDescent="0.4"/>
    <row r="586" ht="15.75" customHeight="1" x14ac:dyDescent="0.4"/>
    <row r="587" ht="15.75" customHeight="1" x14ac:dyDescent="0.4"/>
    <row r="588" ht="15.75" customHeight="1" x14ac:dyDescent="0.4"/>
    <row r="589" ht="15.75" customHeight="1" x14ac:dyDescent="0.4"/>
    <row r="590" ht="15.75" customHeight="1" x14ac:dyDescent="0.4"/>
    <row r="591" ht="15.75" customHeight="1" x14ac:dyDescent="0.4"/>
    <row r="592" ht="15.75" customHeight="1" x14ac:dyDescent="0.4"/>
    <row r="593" ht="15.75" customHeight="1" x14ac:dyDescent="0.4"/>
    <row r="594" ht="15.75" customHeight="1" x14ac:dyDescent="0.4"/>
    <row r="595" ht="15.75" customHeight="1" x14ac:dyDescent="0.4"/>
    <row r="596" ht="15.75" customHeight="1" x14ac:dyDescent="0.4"/>
    <row r="597" ht="15.75" customHeight="1" x14ac:dyDescent="0.4"/>
    <row r="598" ht="15.75" customHeight="1" x14ac:dyDescent="0.4"/>
    <row r="599" ht="15.75" customHeight="1" x14ac:dyDescent="0.4"/>
    <row r="600" ht="15.75" customHeight="1" x14ac:dyDescent="0.4"/>
    <row r="601" ht="15.75" customHeight="1" x14ac:dyDescent="0.4"/>
    <row r="602" ht="15.75" customHeight="1" x14ac:dyDescent="0.4"/>
    <row r="603" ht="15.75" customHeight="1" x14ac:dyDescent="0.4"/>
    <row r="604" ht="15.75" customHeight="1" x14ac:dyDescent="0.4"/>
    <row r="605" ht="15.75" customHeight="1" x14ac:dyDescent="0.4"/>
    <row r="606" ht="15.75" customHeight="1" x14ac:dyDescent="0.4"/>
    <row r="607" ht="15.75" customHeight="1" x14ac:dyDescent="0.4"/>
    <row r="608" ht="15.75" customHeight="1" x14ac:dyDescent="0.4"/>
    <row r="609" ht="15.75" customHeight="1" x14ac:dyDescent="0.4"/>
    <row r="610" ht="15.75" customHeight="1" x14ac:dyDescent="0.4"/>
    <row r="611" ht="15.75" customHeight="1" x14ac:dyDescent="0.4"/>
    <row r="612" ht="15.75" customHeight="1" x14ac:dyDescent="0.4"/>
    <row r="613" ht="15.75" customHeight="1" x14ac:dyDescent="0.4"/>
    <row r="614" ht="15.75" customHeight="1" x14ac:dyDescent="0.4"/>
    <row r="615" ht="15.75" customHeight="1" x14ac:dyDescent="0.4"/>
    <row r="616" ht="15.75" customHeight="1" x14ac:dyDescent="0.4"/>
    <row r="617" ht="15.75" customHeight="1" x14ac:dyDescent="0.4"/>
    <row r="618" ht="15.75" customHeight="1" x14ac:dyDescent="0.4"/>
    <row r="619" ht="15.75" customHeight="1" x14ac:dyDescent="0.4"/>
    <row r="620" ht="15.75" customHeight="1" x14ac:dyDescent="0.4"/>
    <row r="621" ht="15.75" customHeight="1" x14ac:dyDescent="0.4"/>
    <row r="622" ht="15.75" customHeight="1" x14ac:dyDescent="0.4"/>
    <row r="623" ht="15.75" customHeight="1" x14ac:dyDescent="0.4"/>
    <row r="624" ht="15.75" customHeight="1" x14ac:dyDescent="0.4"/>
    <row r="625" ht="15.75" customHeight="1" x14ac:dyDescent="0.4"/>
    <row r="626" ht="15.75" customHeight="1" x14ac:dyDescent="0.4"/>
    <row r="627" ht="15.75" customHeight="1" x14ac:dyDescent="0.4"/>
    <row r="628" ht="15.75" customHeight="1" x14ac:dyDescent="0.4"/>
    <row r="629" ht="15.75" customHeight="1" x14ac:dyDescent="0.4"/>
    <row r="630" ht="15.75" customHeight="1" x14ac:dyDescent="0.4"/>
    <row r="631" ht="15.75" customHeight="1" x14ac:dyDescent="0.4"/>
    <row r="632" ht="15.75" customHeight="1" x14ac:dyDescent="0.4"/>
    <row r="633" ht="15.75" customHeight="1" x14ac:dyDescent="0.4"/>
    <row r="634" ht="15.75" customHeight="1" x14ac:dyDescent="0.4"/>
    <row r="635" ht="15.75" customHeight="1" x14ac:dyDescent="0.4"/>
    <row r="636" ht="15.75" customHeight="1" x14ac:dyDescent="0.4"/>
    <row r="637" ht="15.75" customHeight="1" x14ac:dyDescent="0.4"/>
    <row r="638" ht="15.75" customHeight="1" x14ac:dyDescent="0.4"/>
    <row r="639" ht="15.75" customHeight="1" x14ac:dyDescent="0.4"/>
    <row r="640" ht="15.75" customHeight="1" x14ac:dyDescent="0.4"/>
    <row r="641" ht="15.75" customHeight="1" x14ac:dyDescent="0.4"/>
    <row r="642" ht="15.75" customHeight="1" x14ac:dyDescent="0.4"/>
    <row r="643" ht="15.75" customHeight="1" x14ac:dyDescent="0.4"/>
    <row r="644" ht="15.75" customHeight="1" x14ac:dyDescent="0.4"/>
    <row r="645" ht="15.75" customHeight="1" x14ac:dyDescent="0.4"/>
    <row r="646" ht="15.75" customHeight="1" x14ac:dyDescent="0.4"/>
    <row r="647" ht="15.75" customHeight="1" x14ac:dyDescent="0.4"/>
    <row r="648" ht="15.75" customHeight="1" x14ac:dyDescent="0.4"/>
    <row r="649" ht="15.75" customHeight="1" x14ac:dyDescent="0.4"/>
    <row r="650" ht="15.75" customHeight="1" x14ac:dyDescent="0.4"/>
    <row r="651" ht="15.75" customHeight="1" x14ac:dyDescent="0.4"/>
    <row r="652" ht="15.75" customHeight="1" x14ac:dyDescent="0.4"/>
    <row r="653" ht="15.75" customHeight="1" x14ac:dyDescent="0.4"/>
    <row r="654" ht="15.75" customHeight="1" x14ac:dyDescent="0.4"/>
    <row r="655" ht="15.75" customHeight="1" x14ac:dyDescent="0.4"/>
    <row r="656" ht="15.75" customHeight="1" x14ac:dyDescent="0.4"/>
    <row r="657" ht="15.75" customHeight="1" x14ac:dyDescent="0.4"/>
    <row r="658" ht="15.75" customHeight="1" x14ac:dyDescent="0.4"/>
    <row r="659" ht="15.75" customHeight="1" x14ac:dyDescent="0.4"/>
    <row r="660" ht="15.75" customHeight="1" x14ac:dyDescent="0.4"/>
    <row r="661" ht="15.75" customHeight="1" x14ac:dyDescent="0.4"/>
    <row r="662" ht="15.75" customHeight="1" x14ac:dyDescent="0.4"/>
    <row r="663" ht="15.75" customHeight="1" x14ac:dyDescent="0.4"/>
    <row r="664" ht="15.75" customHeight="1" x14ac:dyDescent="0.4"/>
    <row r="665" ht="15.75" customHeight="1" x14ac:dyDescent="0.4"/>
    <row r="666" ht="15.75" customHeight="1" x14ac:dyDescent="0.4"/>
    <row r="667" ht="15.75" customHeight="1" x14ac:dyDescent="0.4"/>
    <row r="668" ht="15.75" customHeight="1" x14ac:dyDescent="0.4"/>
    <row r="669" ht="15.75" customHeight="1" x14ac:dyDescent="0.4"/>
    <row r="670" ht="15.75" customHeight="1" x14ac:dyDescent="0.4"/>
    <row r="671" ht="15.75" customHeight="1" x14ac:dyDescent="0.4"/>
    <row r="672" ht="15.75" customHeight="1" x14ac:dyDescent="0.4"/>
    <row r="673" ht="15.75" customHeight="1" x14ac:dyDescent="0.4"/>
    <row r="674" ht="15.75" customHeight="1" x14ac:dyDescent="0.4"/>
    <row r="675" ht="15.75" customHeight="1" x14ac:dyDescent="0.4"/>
    <row r="676" ht="15.75" customHeight="1" x14ac:dyDescent="0.4"/>
    <row r="677" ht="15.75" customHeight="1" x14ac:dyDescent="0.4"/>
    <row r="678" ht="15.75" customHeight="1" x14ac:dyDescent="0.4"/>
    <row r="679" ht="15.75" customHeight="1" x14ac:dyDescent="0.4"/>
    <row r="680" ht="15.75" customHeight="1" x14ac:dyDescent="0.4"/>
    <row r="681" ht="15.75" customHeight="1" x14ac:dyDescent="0.4"/>
    <row r="682" ht="15.75" customHeight="1" x14ac:dyDescent="0.4"/>
    <row r="683" ht="15.75" customHeight="1" x14ac:dyDescent="0.4"/>
    <row r="684" ht="15.75" customHeight="1" x14ac:dyDescent="0.4"/>
    <row r="685" ht="15.75" customHeight="1" x14ac:dyDescent="0.4"/>
    <row r="686" ht="15.75" customHeight="1" x14ac:dyDescent="0.4"/>
    <row r="687" ht="15.75" customHeight="1" x14ac:dyDescent="0.4"/>
    <row r="688" ht="15.75" customHeight="1" x14ac:dyDescent="0.4"/>
    <row r="689" ht="15.75" customHeight="1" x14ac:dyDescent="0.4"/>
    <row r="690" ht="15.75" customHeight="1" x14ac:dyDescent="0.4"/>
    <row r="691" ht="15.75" customHeight="1" x14ac:dyDescent="0.4"/>
    <row r="692" ht="15.75" customHeight="1" x14ac:dyDescent="0.4"/>
    <row r="693" ht="15.75" customHeight="1" x14ac:dyDescent="0.4"/>
    <row r="694" ht="15.75" customHeight="1" x14ac:dyDescent="0.4"/>
    <row r="695" ht="15.75" customHeight="1" x14ac:dyDescent="0.4"/>
    <row r="696" ht="15.75" customHeight="1" x14ac:dyDescent="0.4"/>
    <row r="697" ht="15.75" customHeight="1" x14ac:dyDescent="0.4"/>
    <row r="698" ht="15.75" customHeight="1" x14ac:dyDescent="0.4"/>
    <row r="699" ht="15.75" customHeight="1" x14ac:dyDescent="0.4"/>
    <row r="700" ht="15.75" customHeight="1" x14ac:dyDescent="0.4"/>
    <row r="701" ht="15.75" customHeight="1" x14ac:dyDescent="0.4"/>
    <row r="702" ht="15.75" customHeight="1" x14ac:dyDescent="0.4"/>
    <row r="703" ht="15.75" customHeight="1" x14ac:dyDescent="0.4"/>
    <row r="704" ht="15.75" customHeight="1" x14ac:dyDescent="0.4"/>
    <row r="705" ht="15.75" customHeight="1" x14ac:dyDescent="0.4"/>
    <row r="706" ht="15.75" customHeight="1" x14ac:dyDescent="0.4"/>
    <row r="707" ht="15.75" customHeight="1" x14ac:dyDescent="0.4"/>
    <row r="708" ht="15.75" customHeight="1" x14ac:dyDescent="0.4"/>
    <row r="709" ht="15.75" customHeight="1" x14ac:dyDescent="0.4"/>
    <row r="710" ht="15.75" customHeight="1" x14ac:dyDescent="0.4"/>
    <row r="711" ht="15.75" customHeight="1" x14ac:dyDescent="0.4"/>
    <row r="712" ht="15.75" customHeight="1" x14ac:dyDescent="0.4"/>
    <row r="713" ht="15.75" customHeight="1" x14ac:dyDescent="0.4"/>
    <row r="714" ht="15.75" customHeight="1" x14ac:dyDescent="0.4"/>
    <row r="715" ht="15.75" customHeight="1" x14ac:dyDescent="0.4"/>
    <row r="716" ht="15.75" customHeight="1" x14ac:dyDescent="0.4"/>
    <row r="717" ht="15.75" customHeight="1" x14ac:dyDescent="0.4"/>
    <row r="718" ht="15.75" customHeight="1" x14ac:dyDescent="0.4"/>
    <row r="719" ht="15.75" customHeight="1" x14ac:dyDescent="0.4"/>
    <row r="720" ht="15.75" customHeight="1" x14ac:dyDescent="0.4"/>
    <row r="721" ht="15.75" customHeight="1" x14ac:dyDescent="0.4"/>
    <row r="722" ht="15.75" customHeight="1" x14ac:dyDescent="0.4"/>
    <row r="723" ht="15.75" customHeight="1" x14ac:dyDescent="0.4"/>
    <row r="724" ht="15.75" customHeight="1" x14ac:dyDescent="0.4"/>
    <row r="725" ht="15.75" customHeight="1" x14ac:dyDescent="0.4"/>
    <row r="726" ht="15.75" customHeight="1" x14ac:dyDescent="0.4"/>
    <row r="727" ht="15.75" customHeight="1" x14ac:dyDescent="0.4"/>
    <row r="728" ht="15.75" customHeight="1" x14ac:dyDescent="0.4"/>
    <row r="729" ht="15.75" customHeight="1" x14ac:dyDescent="0.4"/>
    <row r="730" ht="15.75" customHeight="1" x14ac:dyDescent="0.4"/>
    <row r="731" ht="15.75" customHeight="1" x14ac:dyDescent="0.4"/>
    <row r="732" ht="15.75" customHeight="1" x14ac:dyDescent="0.4"/>
    <row r="733" ht="15.75" customHeight="1" x14ac:dyDescent="0.4"/>
    <row r="734" ht="15.75" customHeight="1" x14ac:dyDescent="0.4"/>
    <row r="735" ht="15.75" customHeight="1" x14ac:dyDescent="0.4"/>
    <row r="736" ht="15.75" customHeight="1" x14ac:dyDescent="0.4"/>
    <row r="737" ht="15.75" customHeight="1" x14ac:dyDescent="0.4"/>
    <row r="738" ht="15.75" customHeight="1" x14ac:dyDescent="0.4"/>
    <row r="739" ht="15.75" customHeight="1" x14ac:dyDescent="0.4"/>
    <row r="740" ht="15.75" customHeight="1" x14ac:dyDescent="0.4"/>
    <row r="741" ht="15.75" customHeight="1" x14ac:dyDescent="0.4"/>
    <row r="742" ht="15.75" customHeight="1" x14ac:dyDescent="0.4"/>
    <row r="743" ht="15.75" customHeight="1" x14ac:dyDescent="0.4"/>
    <row r="744" ht="15.75" customHeight="1" x14ac:dyDescent="0.4"/>
    <row r="745" ht="15.75" customHeight="1" x14ac:dyDescent="0.4"/>
    <row r="746" ht="15.75" customHeight="1" x14ac:dyDescent="0.4"/>
    <row r="747" ht="15.75" customHeight="1" x14ac:dyDescent="0.4"/>
    <row r="748" ht="15.75" customHeight="1" x14ac:dyDescent="0.4"/>
    <row r="749" ht="15.75" customHeight="1" x14ac:dyDescent="0.4"/>
    <row r="750" ht="15.75" customHeight="1" x14ac:dyDescent="0.4"/>
    <row r="751" ht="15.75" customHeight="1" x14ac:dyDescent="0.4"/>
    <row r="752" ht="15.75" customHeight="1" x14ac:dyDescent="0.4"/>
    <row r="753" ht="15.75" customHeight="1" x14ac:dyDescent="0.4"/>
    <row r="754" ht="15.75" customHeight="1" x14ac:dyDescent="0.4"/>
    <row r="755" ht="15.75" customHeight="1" x14ac:dyDescent="0.4"/>
    <row r="756" ht="15.75" customHeight="1" x14ac:dyDescent="0.4"/>
    <row r="757" ht="15.75" customHeight="1" x14ac:dyDescent="0.4"/>
    <row r="758" ht="15.75" customHeight="1" x14ac:dyDescent="0.4"/>
    <row r="759" ht="15.75" customHeight="1" x14ac:dyDescent="0.4"/>
    <row r="760" ht="15.75" customHeight="1" x14ac:dyDescent="0.4"/>
    <row r="761" ht="15.75" customHeight="1" x14ac:dyDescent="0.4"/>
    <row r="762" ht="15.75" customHeight="1" x14ac:dyDescent="0.4"/>
    <row r="763" ht="15.75" customHeight="1" x14ac:dyDescent="0.4"/>
    <row r="764" ht="15.75" customHeight="1" x14ac:dyDescent="0.4"/>
    <row r="765" ht="15.75" customHeight="1" x14ac:dyDescent="0.4"/>
    <row r="766" ht="15.75" customHeight="1" x14ac:dyDescent="0.4"/>
    <row r="767" ht="15.75" customHeight="1" x14ac:dyDescent="0.4"/>
    <row r="768" ht="15.75" customHeight="1" x14ac:dyDescent="0.4"/>
    <row r="769" ht="15.75" customHeight="1" x14ac:dyDescent="0.4"/>
    <row r="770" ht="15.75" customHeight="1" x14ac:dyDescent="0.4"/>
    <row r="771" ht="15.75" customHeight="1" x14ac:dyDescent="0.4"/>
    <row r="772" ht="15.75" customHeight="1" x14ac:dyDescent="0.4"/>
    <row r="773" ht="15.75" customHeight="1" x14ac:dyDescent="0.4"/>
    <row r="774" ht="15.75" customHeight="1" x14ac:dyDescent="0.4"/>
    <row r="775" ht="15.75" customHeight="1" x14ac:dyDescent="0.4"/>
    <row r="776" ht="15.75" customHeight="1" x14ac:dyDescent="0.4"/>
    <row r="777" ht="15.75" customHeight="1" x14ac:dyDescent="0.4"/>
    <row r="778" ht="15.75" customHeight="1" x14ac:dyDescent="0.4"/>
    <row r="779" ht="15.75" customHeight="1" x14ac:dyDescent="0.4"/>
    <row r="780" ht="15.75" customHeight="1" x14ac:dyDescent="0.4"/>
    <row r="781" ht="15.75" customHeight="1" x14ac:dyDescent="0.4"/>
    <row r="782" ht="15.75" customHeight="1" x14ac:dyDescent="0.4"/>
    <row r="783" ht="15.75" customHeight="1" x14ac:dyDescent="0.4"/>
    <row r="784" ht="15.75" customHeight="1" x14ac:dyDescent="0.4"/>
    <row r="785" ht="15.75" customHeight="1" x14ac:dyDescent="0.4"/>
    <row r="786" ht="15.75" customHeight="1" x14ac:dyDescent="0.4"/>
    <row r="787" ht="15.75" customHeight="1" x14ac:dyDescent="0.4"/>
    <row r="788" ht="15.75" customHeight="1" x14ac:dyDescent="0.4"/>
    <row r="789" ht="15.75" customHeight="1" x14ac:dyDescent="0.4"/>
    <row r="790" ht="15.75" customHeight="1" x14ac:dyDescent="0.4"/>
    <row r="791" ht="15.75" customHeight="1" x14ac:dyDescent="0.4"/>
    <row r="792" ht="15.75" customHeight="1" x14ac:dyDescent="0.4"/>
    <row r="793" ht="15.75" customHeight="1" x14ac:dyDescent="0.4"/>
    <row r="794" ht="15.75" customHeight="1" x14ac:dyDescent="0.4"/>
    <row r="795" ht="15.75" customHeight="1" x14ac:dyDescent="0.4"/>
    <row r="796" ht="15.75" customHeight="1" x14ac:dyDescent="0.4"/>
    <row r="797" ht="15.75" customHeight="1" x14ac:dyDescent="0.4"/>
    <row r="798" ht="15.75" customHeight="1" x14ac:dyDescent="0.4"/>
    <row r="799" ht="15.75" customHeight="1" x14ac:dyDescent="0.4"/>
    <row r="800" ht="15.75" customHeight="1" x14ac:dyDescent="0.4"/>
    <row r="801" ht="15.75" customHeight="1" x14ac:dyDescent="0.4"/>
    <row r="802" ht="15.75" customHeight="1" x14ac:dyDescent="0.4"/>
    <row r="803" ht="15.75" customHeight="1" x14ac:dyDescent="0.4"/>
    <row r="804" ht="15.75" customHeight="1" x14ac:dyDescent="0.4"/>
    <row r="805" ht="15.75" customHeight="1" x14ac:dyDescent="0.4"/>
    <row r="806" ht="15.75" customHeight="1" x14ac:dyDescent="0.4"/>
    <row r="807" ht="15.75" customHeight="1" x14ac:dyDescent="0.4"/>
    <row r="808" ht="15.75" customHeight="1" x14ac:dyDescent="0.4"/>
    <row r="809" ht="15.75" customHeight="1" x14ac:dyDescent="0.4"/>
    <row r="810" ht="15.75" customHeight="1" x14ac:dyDescent="0.4"/>
    <row r="811" ht="15.75" customHeight="1" x14ac:dyDescent="0.4"/>
    <row r="812" ht="15.75" customHeight="1" x14ac:dyDescent="0.4"/>
    <row r="813" ht="15.75" customHeight="1" x14ac:dyDescent="0.4"/>
    <row r="814" ht="15.75" customHeight="1" x14ac:dyDescent="0.4"/>
    <row r="815" ht="15.75" customHeight="1" x14ac:dyDescent="0.4"/>
    <row r="816" ht="15.75" customHeight="1" x14ac:dyDescent="0.4"/>
    <row r="817" ht="15.75" customHeight="1" x14ac:dyDescent="0.4"/>
    <row r="818" ht="15.75" customHeight="1" x14ac:dyDescent="0.4"/>
    <row r="819" ht="15.75" customHeight="1" x14ac:dyDescent="0.4"/>
    <row r="820" ht="15.75" customHeight="1" x14ac:dyDescent="0.4"/>
    <row r="821" ht="15.75" customHeight="1" x14ac:dyDescent="0.4"/>
    <row r="822" ht="15.75" customHeight="1" x14ac:dyDescent="0.4"/>
    <row r="823" ht="15.75" customHeight="1" x14ac:dyDescent="0.4"/>
    <row r="824" ht="15.75" customHeight="1" x14ac:dyDescent="0.4"/>
    <row r="825" ht="15.75" customHeight="1" x14ac:dyDescent="0.4"/>
    <row r="826" ht="15.75" customHeight="1" x14ac:dyDescent="0.4"/>
    <row r="827" ht="15.75" customHeight="1" x14ac:dyDescent="0.4"/>
    <row r="828" ht="15.75" customHeight="1" x14ac:dyDescent="0.4"/>
    <row r="829" ht="15.75" customHeight="1" x14ac:dyDescent="0.4"/>
    <row r="830" ht="15.75" customHeight="1" x14ac:dyDescent="0.4"/>
    <row r="831" ht="15.75" customHeight="1" x14ac:dyDescent="0.4"/>
    <row r="832" ht="15.75" customHeight="1" x14ac:dyDescent="0.4"/>
    <row r="833" ht="15.75" customHeight="1" x14ac:dyDescent="0.4"/>
    <row r="834" ht="15.75" customHeight="1" x14ac:dyDescent="0.4"/>
    <row r="835" ht="15.75" customHeight="1" x14ac:dyDescent="0.4"/>
    <row r="836" ht="15.75" customHeight="1" x14ac:dyDescent="0.4"/>
    <row r="837" ht="15.75" customHeight="1" x14ac:dyDescent="0.4"/>
    <row r="838" ht="15.75" customHeight="1" x14ac:dyDescent="0.4"/>
    <row r="839" ht="15.75" customHeight="1" x14ac:dyDescent="0.4"/>
    <row r="840" ht="15.75" customHeight="1" x14ac:dyDescent="0.4"/>
    <row r="841" ht="15.75" customHeight="1" x14ac:dyDescent="0.4"/>
    <row r="842" ht="15.75" customHeight="1" x14ac:dyDescent="0.4"/>
    <row r="843" ht="15.75" customHeight="1" x14ac:dyDescent="0.4"/>
    <row r="844" ht="15.75" customHeight="1" x14ac:dyDescent="0.4"/>
    <row r="845" ht="15.75" customHeight="1" x14ac:dyDescent="0.4"/>
    <row r="846" ht="15.75" customHeight="1" x14ac:dyDescent="0.4"/>
    <row r="847" ht="15.75" customHeight="1" x14ac:dyDescent="0.4"/>
    <row r="848" ht="15.75" customHeight="1" x14ac:dyDescent="0.4"/>
    <row r="849" ht="15.75" customHeight="1" x14ac:dyDescent="0.4"/>
    <row r="850" ht="15.75" customHeight="1" x14ac:dyDescent="0.4"/>
    <row r="851" ht="15.75" customHeight="1" x14ac:dyDescent="0.4"/>
    <row r="852" ht="15.75" customHeight="1" x14ac:dyDescent="0.4"/>
    <row r="853" ht="15.75" customHeight="1" x14ac:dyDescent="0.4"/>
    <row r="854" ht="15.75" customHeight="1" x14ac:dyDescent="0.4"/>
    <row r="855" ht="15.75" customHeight="1" x14ac:dyDescent="0.4"/>
    <row r="856" ht="15.75" customHeight="1" x14ac:dyDescent="0.4"/>
    <row r="857" ht="15.75" customHeight="1" x14ac:dyDescent="0.4"/>
    <row r="858" ht="15.75" customHeight="1" x14ac:dyDescent="0.4"/>
    <row r="859" ht="15.75" customHeight="1" x14ac:dyDescent="0.4"/>
    <row r="860" ht="15.75" customHeight="1" x14ac:dyDescent="0.4"/>
    <row r="861" ht="15.75" customHeight="1" x14ac:dyDescent="0.4"/>
    <row r="862" ht="15.75" customHeight="1" x14ac:dyDescent="0.4"/>
    <row r="863" ht="15.75" customHeight="1" x14ac:dyDescent="0.4"/>
    <row r="864" ht="15.75" customHeight="1" x14ac:dyDescent="0.4"/>
    <row r="865" ht="15.75" customHeight="1" x14ac:dyDescent="0.4"/>
    <row r="866" ht="15.75" customHeight="1" x14ac:dyDescent="0.4"/>
    <row r="867" ht="15.75" customHeight="1" x14ac:dyDescent="0.4"/>
    <row r="868" ht="15.75" customHeight="1" x14ac:dyDescent="0.4"/>
    <row r="869" ht="15.75" customHeight="1" x14ac:dyDescent="0.4"/>
    <row r="870" ht="15.75" customHeight="1" x14ac:dyDescent="0.4"/>
    <row r="871" ht="15.75" customHeight="1" x14ac:dyDescent="0.4"/>
    <row r="872" ht="15.75" customHeight="1" x14ac:dyDescent="0.4"/>
    <row r="873" ht="15.75" customHeight="1" x14ac:dyDescent="0.4"/>
    <row r="874" ht="15.75" customHeight="1" x14ac:dyDescent="0.4"/>
    <row r="875" ht="15.75" customHeight="1" x14ac:dyDescent="0.4"/>
    <row r="876" ht="15.75" customHeight="1" x14ac:dyDescent="0.4"/>
    <row r="877" ht="15.75" customHeight="1" x14ac:dyDescent="0.4"/>
    <row r="878" ht="15.75" customHeight="1" x14ac:dyDescent="0.4"/>
    <row r="879" ht="15.75" customHeight="1" x14ac:dyDescent="0.4"/>
    <row r="880" ht="15.75" customHeight="1" x14ac:dyDescent="0.4"/>
    <row r="881" ht="15.75" customHeight="1" x14ac:dyDescent="0.4"/>
    <row r="882" ht="15.75" customHeight="1" x14ac:dyDescent="0.4"/>
    <row r="883" ht="15.75" customHeight="1" x14ac:dyDescent="0.4"/>
    <row r="884" ht="15.75" customHeight="1" x14ac:dyDescent="0.4"/>
    <row r="885" ht="15.75" customHeight="1" x14ac:dyDescent="0.4"/>
    <row r="886" ht="15.75" customHeight="1" x14ac:dyDescent="0.4"/>
    <row r="887" ht="15.75" customHeight="1" x14ac:dyDescent="0.4"/>
    <row r="888" ht="15.75" customHeight="1" x14ac:dyDescent="0.4"/>
    <row r="889" ht="15.75" customHeight="1" x14ac:dyDescent="0.4"/>
    <row r="890" ht="15.75" customHeight="1" x14ac:dyDescent="0.4"/>
    <row r="891" ht="15.75" customHeight="1" x14ac:dyDescent="0.4"/>
    <row r="892" ht="15.75" customHeight="1" x14ac:dyDescent="0.4"/>
    <row r="893" ht="15.75" customHeight="1" x14ac:dyDescent="0.4"/>
    <row r="894" ht="15.75" customHeight="1" x14ac:dyDescent="0.4"/>
    <row r="895" ht="15.75" customHeight="1" x14ac:dyDescent="0.4"/>
    <row r="896" ht="15.75" customHeight="1" x14ac:dyDescent="0.4"/>
    <row r="897" ht="15.75" customHeight="1" x14ac:dyDescent="0.4"/>
    <row r="898" ht="15.75" customHeight="1" x14ac:dyDescent="0.4"/>
    <row r="899" ht="15.75" customHeight="1" x14ac:dyDescent="0.4"/>
    <row r="900" ht="15.75" customHeight="1" x14ac:dyDescent="0.4"/>
    <row r="901" ht="15.75" customHeight="1" x14ac:dyDescent="0.4"/>
    <row r="902" ht="15.75" customHeight="1" x14ac:dyDescent="0.4"/>
    <row r="903" ht="15.75" customHeight="1" x14ac:dyDescent="0.4"/>
    <row r="904" ht="15.75" customHeight="1" x14ac:dyDescent="0.4"/>
    <row r="905" ht="15.75" customHeight="1" x14ac:dyDescent="0.4"/>
    <row r="906" ht="15.75" customHeight="1" x14ac:dyDescent="0.4"/>
    <row r="907" ht="15.75" customHeight="1" x14ac:dyDescent="0.4"/>
    <row r="908" ht="15.75" customHeight="1" x14ac:dyDescent="0.4"/>
    <row r="909" ht="15.75" customHeight="1" x14ac:dyDescent="0.4"/>
    <row r="910" ht="15.75" customHeight="1" x14ac:dyDescent="0.4"/>
    <row r="911" ht="15.75" customHeight="1" x14ac:dyDescent="0.4"/>
    <row r="912" ht="15.75" customHeight="1" x14ac:dyDescent="0.4"/>
    <row r="913" ht="15.75" customHeight="1" x14ac:dyDescent="0.4"/>
    <row r="914" ht="15.75" customHeight="1" x14ac:dyDescent="0.4"/>
    <row r="915" ht="15.75" customHeight="1" x14ac:dyDescent="0.4"/>
    <row r="916" ht="15.75" customHeight="1" x14ac:dyDescent="0.4"/>
    <row r="917" ht="15.75" customHeight="1" x14ac:dyDescent="0.4"/>
    <row r="918" ht="15.75" customHeight="1" x14ac:dyDescent="0.4"/>
    <row r="919" ht="15.75" customHeight="1" x14ac:dyDescent="0.4"/>
    <row r="920" ht="15.75" customHeight="1" x14ac:dyDescent="0.4"/>
    <row r="921" ht="15.75" customHeight="1" x14ac:dyDescent="0.4"/>
    <row r="922" ht="15.75" customHeight="1" x14ac:dyDescent="0.4"/>
    <row r="923" ht="15.75" customHeight="1" x14ac:dyDescent="0.4"/>
    <row r="924" ht="15.75" customHeight="1" x14ac:dyDescent="0.4"/>
    <row r="925" ht="15.75" customHeight="1" x14ac:dyDescent="0.4"/>
    <row r="926" ht="15.75" customHeight="1" x14ac:dyDescent="0.4"/>
    <row r="927" ht="15.75" customHeight="1" x14ac:dyDescent="0.4"/>
    <row r="928" ht="15.75" customHeight="1" x14ac:dyDescent="0.4"/>
    <row r="929" ht="15.75" customHeight="1" x14ac:dyDescent="0.4"/>
    <row r="930" ht="15.75" customHeight="1" x14ac:dyDescent="0.4"/>
    <row r="931" ht="15.75" customHeight="1" x14ac:dyDescent="0.4"/>
    <row r="932" ht="15.75" customHeight="1" x14ac:dyDescent="0.4"/>
    <row r="933" ht="15.75" customHeight="1" x14ac:dyDescent="0.4"/>
    <row r="934" ht="15.75" customHeight="1" x14ac:dyDescent="0.4"/>
    <row r="935" ht="15.75" customHeight="1" x14ac:dyDescent="0.4"/>
    <row r="936" ht="15.75" customHeight="1" x14ac:dyDescent="0.4"/>
    <row r="937" ht="15.75" customHeight="1" x14ac:dyDescent="0.4"/>
    <row r="938" ht="15.75" customHeight="1" x14ac:dyDescent="0.4"/>
    <row r="939" ht="15.75" customHeight="1" x14ac:dyDescent="0.4"/>
    <row r="940" ht="15.75" customHeight="1" x14ac:dyDescent="0.4"/>
    <row r="941" ht="15.75" customHeight="1" x14ac:dyDescent="0.4"/>
    <row r="942" ht="15.75" customHeight="1" x14ac:dyDescent="0.4"/>
    <row r="943" ht="15.75" customHeight="1" x14ac:dyDescent="0.4"/>
    <row r="944" ht="15.75" customHeight="1" x14ac:dyDescent="0.4"/>
    <row r="945" ht="15.75" customHeight="1" x14ac:dyDescent="0.4"/>
    <row r="946" ht="15.75" customHeight="1" x14ac:dyDescent="0.4"/>
    <row r="947" ht="15.75" customHeight="1" x14ac:dyDescent="0.4"/>
    <row r="948" ht="15.75" customHeight="1" x14ac:dyDescent="0.4"/>
    <row r="949" ht="15.75" customHeight="1" x14ac:dyDescent="0.4"/>
    <row r="950" ht="15.75" customHeight="1" x14ac:dyDescent="0.4"/>
    <row r="951" ht="15.75" customHeight="1" x14ac:dyDescent="0.4"/>
    <row r="952" ht="15.75" customHeight="1" x14ac:dyDescent="0.4"/>
    <row r="953" ht="15.75" customHeight="1" x14ac:dyDescent="0.4"/>
    <row r="954" ht="15.75" customHeight="1" x14ac:dyDescent="0.4"/>
    <row r="955" ht="15.75" customHeight="1" x14ac:dyDescent="0.4"/>
    <row r="956" ht="15.75" customHeight="1" x14ac:dyDescent="0.4"/>
    <row r="957" ht="15.75" customHeight="1" x14ac:dyDescent="0.4"/>
    <row r="958" ht="15.75" customHeight="1" x14ac:dyDescent="0.4"/>
    <row r="959" ht="15.75" customHeight="1" x14ac:dyDescent="0.4"/>
    <row r="960" ht="15.75" customHeight="1" x14ac:dyDescent="0.4"/>
    <row r="961" ht="15.75" customHeight="1" x14ac:dyDescent="0.4"/>
    <row r="962" ht="15.75" customHeight="1" x14ac:dyDescent="0.4"/>
    <row r="963" ht="15.75" customHeight="1" x14ac:dyDescent="0.4"/>
    <row r="964" ht="15.75" customHeight="1" x14ac:dyDescent="0.4"/>
    <row r="965" ht="15.75" customHeight="1" x14ac:dyDescent="0.4"/>
    <row r="966" ht="15.75" customHeight="1" x14ac:dyDescent="0.4"/>
    <row r="967" ht="15.75" customHeight="1" x14ac:dyDescent="0.4"/>
    <row r="968" ht="15.75" customHeight="1" x14ac:dyDescent="0.4"/>
    <row r="969" ht="15.75" customHeight="1" x14ac:dyDescent="0.4"/>
    <row r="970" ht="15.75" customHeight="1" x14ac:dyDescent="0.4"/>
    <row r="971" ht="15.75" customHeight="1" x14ac:dyDescent="0.4"/>
    <row r="972" ht="15.75" customHeight="1" x14ac:dyDescent="0.4"/>
    <row r="973" ht="15.75" customHeight="1" x14ac:dyDescent="0.4"/>
    <row r="974" ht="15.75" customHeight="1" x14ac:dyDescent="0.4"/>
    <row r="975" ht="15.75" customHeight="1" x14ac:dyDescent="0.4"/>
    <row r="976" ht="15.75" customHeight="1" x14ac:dyDescent="0.4"/>
    <row r="977" ht="15.75" customHeight="1" x14ac:dyDescent="0.4"/>
    <row r="978" ht="15.75" customHeight="1" x14ac:dyDescent="0.4"/>
    <row r="979" ht="15.75" customHeight="1" x14ac:dyDescent="0.4"/>
    <row r="980" ht="15.75" customHeight="1" x14ac:dyDescent="0.4"/>
    <row r="981" ht="15.75" customHeight="1" x14ac:dyDescent="0.4"/>
    <row r="982" ht="15.75" customHeight="1" x14ac:dyDescent="0.4"/>
    <row r="983" ht="15.75" customHeight="1" x14ac:dyDescent="0.4"/>
    <row r="984" ht="15.75" customHeight="1" x14ac:dyDescent="0.4"/>
    <row r="985" ht="15.75" customHeight="1" x14ac:dyDescent="0.4"/>
    <row r="986" ht="15.75" customHeight="1" x14ac:dyDescent="0.4"/>
    <row r="987" ht="15.75" customHeight="1" x14ac:dyDescent="0.4"/>
    <row r="988" ht="15.75" customHeight="1" x14ac:dyDescent="0.4"/>
    <row r="989" ht="15.75" customHeight="1" x14ac:dyDescent="0.4"/>
    <row r="990" ht="15.75" customHeight="1" x14ac:dyDescent="0.4"/>
    <row r="991" ht="15.75" customHeight="1" x14ac:dyDescent="0.4"/>
    <row r="992" ht="15.75" customHeight="1" x14ac:dyDescent="0.4"/>
    <row r="993" ht="15.75" customHeight="1" x14ac:dyDescent="0.4"/>
    <row r="994" ht="15.75" customHeight="1" x14ac:dyDescent="0.4"/>
    <row r="995" ht="15.75" customHeight="1" x14ac:dyDescent="0.4"/>
    <row r="996" ht="15.75" customHeight="1" x14ac:dyDescent="0.4"/>
    <row r="997" ht="15.75" customHeight="1" x14ac:dyDescent="0.4"/>
    <row r="998" ht="15.75" customHeight="1" x14ac:dyDescent="0.4"/>
    <row r="999" ht="15.75" customHeight="1" x14ac:dyDescent="0.4"/>
    <row r="1000" ht="15.75" customHeight="1" x14ac:dyDescent="0.4"/>
  </sheetData>
  <sheetProtection password="DF7C" sheet="1" objects="1" scenarios="1"/>
  <autoFilter ref="A2:AI53" xr:uid="{00000000-0009-0000-0000-000005000000}">
    <filterColumn colId="1" showButton="0"/>
  </autoFilter>
  <mergeCells count="10">
    <mergeCell ref="B31:C31"/>
    <mergeCell ref="B40:C40"/>
    <mergeCell ref="B47:C47"/>
    <mergeCell ref="B2:C2"/>
    <mergeCell ref="B3:C3"/>
    <mergeCell ref="B4:C4"/>
    <mergeCell ref="B5:C5"/>
    <mergeCell ref="B14:C14"/>
    <mergeCell ref="B22:C22"/>
    <mergeCell ref="B30:C30"/>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T206"/>
  <sheetViews>
    <sheetView tabSelected="1" zoomScale="30" zoomScaleNormal="30" workbookViewId="0">
      <selection activeCell="E11" sqref="E11"/>
    </sheetView>
  </sheetViews>
  <sheetFormatPr baseColWidth="10" defaultColWidth="51.6640625" defaultRowHeight="14.4" x14ac:dyDescent="0.3"/>
  <cols>
    <col min="1" max="1" width="10.109375" customWidth="1"/>
    <col min="2" max="2" width="156.44140625" customWidth="1"/>
    <col min="3" max="3" width="29.33203125" style="17" customWidth="1"/>
    <col min="4" max="4" width="58.88671875" style="17" customWidth="1"/>
    <col min="5" max="5" width="52.109375" style="17" customWidth="1"/>
    <col min="6" max="6" width="55" style="17" customWidth="1"/>
    <col min="7" max="7" width="64.44140625" customWidth="1"/>
    <col min="8" max="8" width="57.6640625" customWidth="1"/>
    <col min="9" max="9" width="67.6640625" customWidth="1"/>
    <col min="10" max="10" width="68.109375" customWidth="1"/>
    <col min="11" max="11" width="80.88671875" customWidth="1"/>
    <col min="12" max="12" width="70.77734375" customWidth="1"/>
    <col min="13" max="13" width="66.6640625" customWidth="1"/>
    <col min="14" max="14" width="58.109375" hidden="1" customWidth="1"/>
    <col min="15" max="15" width="35.21875" hidden="1" customWidth="1"/>
  </cols>
  <sheetData>
    <row r="1" spans="2:20" ht="31.2" customHeight="1" thickBot="1" x14ac:dyDescent="0.7">
      <c r="J1" s="967"/>
      <c r="K1" s="968"/>
    </row>
    <row r="2" spans="2:20" s="61" customFormat="1" ht="140.4" customHeight="1" thickBot="1" x14ac:dyDescent="0.4">
      <c r="B2" s="56"/>
      <c r="C2" s="97" t="s">
        <v>1160</v>
      </c>
      <c r="D2" s="57" t="s">
        <v>5</v>
      </c>
      <c r="E2" s="59" t="s">
        <v>1874</v>
      </c>
      <c r="F2" s="59" t="s">
        <v>1986</v>
      </c>
      <c r="G2" s="58" t="s">
        <v>6</v>
      </c>
      <c r="H2" s="635" t="s">
        <v>1875</v>
      </c>
      <c r="I2" s="1259" t="s">
        <v>2492</v>
      </c>
      <c r="J2" s="1260" t="s">
        <v>1848</v>
      </c>
      <c r="K2" s="1259" t="s">
        <v>2493</v>
      </c>
      <c r="L2" s="58" t="s">
        <v>1849</v>
      </c>
      <c r="M2" s="635" t="s">
        <v>2494</v>
      </c>
      <c r="N2" s="60" t="s">
        <v>1158</v>
      </c>
      <c r="O2" s="60" t="s">
        <v>1157</v>
      </c>
    </row>
    <row r="3" spans="2:20" ht="193.2" customHeight="1" thickTop="1" thickBot="1" x14ac:dyDescent="1.1499999999999999">
      <c r="B3" s="62" t="s">
        <v>1588</v>
      </c>
      <c r="C3" s="55"/>
      <c r="D3" s="1262">
        <f t="shared" ref="D3" si="0">+(D4+D46+D92+D123+D161+D198)/6</f>
        <v>0.24888231440455399</v>
      </c>
      <c r="E3" s="781">
        <f>+(E4+E46+E92+E123+E161+E198)/6</f>
        <v>0.2931603912885164</v>
      </c>
      <c r="F3" s="781">
        <f>+J3+E3</f>
        <v>0.49368256120015569</v>
      </c>
      <c r="G3" s="1261">
        <f t="shared" ref="G3:L3" si="1">+(G4+G46+G92+G123+G161+G198)/6</f>
        <v>0.1793132482964562</v>
      </c>
      <c r="H3" s="1261">
        <f t="shared" si="1"/>
        <v>0.25230555747492051</v>
      </c>
      <c r="I3" s="1273">
        <f>+(I4+I46+I92+I123+I161+I198)/6</f>
        <v>0.82048422327474613</v>
      </c>
      <c r="J3" s="135">
        <f t="shared" si="1"/>
        <v>0.20052216991163929</v>
      </c>
      <c r="K3" s="1273">
        <f t="shared" si="1"/>
        <v>0.4849477038031102</v>
      </c>
      <c r="L3" s="137">
        <f t="shared" si="1"/>
        <v>0.16722867266920241</v>
      </c>
      <c r="M3" s="137">
        <f>+(M4*C4)+(M46*C46)+(M92*C92)+(M123*C123)+(C161*M161)+(M198*C198)</f>
        <v>0.45032111099312705</v>
      </c>
      <c r="N3" s="52"/>
      <c r="O3" s="9"/>
      <c r="P3" s="32"/>
      <c r="S3" s="18">
        <v>697</v>
      </c>
      <c r="T3" s="906">
        <f>1/S3</f>
        <v>1.4347202295552368E-3</v>
      </c>
    </row>
    <row r="4" spans="2:20" ht="98.4" customHeight="1" thickTop="1" x14ac:dyDescent="0.55000000000000004">
      <c r="B4" s="53" t="str">
        <f>+'Seguridad Humana'!B3:C3</f>
        <v xml:space="preserve"> SEGURIDAD HUMANA
</v>
      </c>
      <c r="C4" s="1349">
        <v>0.3</v>
      </c>
      <c r="D4" s="38">
        <f>+'Seguridad Humana'!I3</f>
        <v>0.27144914611233045</v>
      </c>
      <c r="E4" s="38">
        <f>+'Seguridad Humana'!J3</f>
        <v>0.37391117816579211</v>
      </c>
      <c r="F4" s="38">
        <f t="shared" ref="F4:F67" si="2">+J4+E4</f>
        <v>0.62879210773800021</v>
      </c>
      <c r="G4" s="38">
        <f>+'Seguridad Humana'!K3</f>
        <v>0.1963447624265218</v>
      </c>
      <c r="H4" s="38">
        <f>+'Seguridad Humana'!L3</f>
        <v>0.2531166550657612</v>
      </c>
      <c r="I4" s="38">
        <f>+'Seguridad Humana'!V3</f>
        <v>0.8432679950416061</v>
      </c>
      <c r="J4" s="38">
        <f>+'Seguridad Humana'!Y3</f>
        <v>0.25488092957220809</v>
      </c>
      <c r="K4" s="38">
        <f>+'Seguridad Humana'!Z3</f>
        <v>0.52039961510956811</v>
      </c>
      <c r="L4" s="54">
        <f>+'Seguridad Humana'!AA3</f>
        <v>0.21296825159703686</v>
      </c>
      <c r="M4" s="54">
        <f>+'Seguridad Humana'!AB3</f>
        <v>0.4762878624287053</v>
      </c>
      <c r="N4" s="37"/>
      <c r="O4" s="10"/>
      <c r="P4" s="914"/>
      <c r="T4" s="19"/>
    </row>
    <row r="5" spans="2:20" ht="70.95" customHeight="1" x14ac:dyDescent="0.7">
      <c r="B5" s="42" t="str">
        <f>+'Seguridad Humana'!B4:C4</f>
        <v xml:space="preserve"> Seguridad Ciudadana y Orden Público 
</v>
      </c>
      <c r="C5" s="1349"/>
      <c r="D5" s="33">
        <f t="shared" ref="D5" si="3">+(D6+D7+D8+D9+D10)/5</f>
        <v>0.40844696306703598</v>
      </c>
      <c r="E5" s="33">
        <f>+(E6+E7+E8+E9+E10)/5</f>
        <v>0.48443538520711044</v>
      </c>
      <c r="F5" s="33">
        <f>+J5+E5</f>
        <v>0.88476840343177321</v>
      </c>
      <c r="G5" s="34">
        <f>+(G6+G7+G8+G9+G10)/5</f>
        <v>0.35458117744760276</v>
      </c>
      <c r="H5" s="34">
        <f t="shared" ref="H5" si="4">+(H6+H7+H8+H9+H10)/5</f>
        <v>0.27871913155614692</v>
      </c>
      <c r="I5" s="772">
        <f>+(I6+I7+I8+I9+I10)/5</f>
        <v>0.77851983833052174</v>
      </c>
      <c r="J5" s="33">
        <f>+(J6+J7+J8+J9+J10)/5</f>
        <v>0.40033301822466277</v>
      </c>
      <c r="K5" s="33">
        <f>+(K6+K7+K8+K9+K10)/5</f>
        <v>0.64063194152581171</v>
      </c>
      <c r="L5" s="43">
        <f>+(L6+L7+L8+L9+L10)</f>
        <v>0.34369348640612268</v>
      </c>
      <c r="M5" s="43">
        <f>+'Seguridad Humana'!AB4</f>
        <v>0.56618942768161484</v>
      </c>
      <c r="N5" s="37"/>
      <c r="O5" s="10"/>
      <c r="P5" s="102"/>
      <c r="T5" s="12"/>
    </row>
    <row r="6" spans="2:20" ht="43.2" customHeight="1" x14ac:dyDescent="0.7">
      <c r="B6" s="44" t="str">
        <f>+'Seguridad Humana'!B5</f>
        <v xml:space="preserve"> PLAN ESTRATÉGICO DE SEGURIDAD INTEGRAL TITAN 24</v>
      </c>
      <c r="C6" s="1349"/>
      <c r="D6" s="13">
        <f>+'Seguridad Humana'!I5</f>
        <v>0.37666666666666665</v>
      </c>
      <c r="E6" s="13">
        <f>+'Seguridad Humana'!J5</f>
        <v>0.38750000000000001</v>
      </c>
      <c r="F6" s="13">
        <f t="shared" si="2"/>
        <v>0.6875</v>
      </c>
      <c r="G6" s="13">
        <f>+'Seguridad Humana'!K5</f>
        <v>0.26083333333333331</v>
      </c>
      <c r="H6" s="13">
        <f>+'Seguridad Humana'!L5</f>
        <v>0.17749999999999999</v>
      </c>
      <c r="I6" s="13">
        <f>+'Seguridad Humana'!V5</f>
        <v>0.75</v>
      </c>
      <c r="J6" s="13">
        <f>+'Seguridad Humana'!Y5</f>
        <v>0.3</v>
      </c>
      <c r="K6" s="13">
        <f>+'Seguridad Humana'!Z5</f>
        <v>0.41</v>
      </c>
      <c r="L6" s="45">
        <f>+'Seguridad Humana'!AA5</f>
        <v>0.109375</v>
      </c>
      <c r="M6" s="45">
        <f>+'Seguridad Humana'!AB5</f>
        <v>0.39</v>
      </c>
      <c r="N6" s="37"/>
      <c r="O6" s="10"/>
      <c r="P6" s="102"/>
    </row>
    <row r="7" spans="2:20" ht="28.2" customHeight="1" x14ac:dyDescent="0.7">
      <c r="B7" s="44" t="str">
        <f>+'Seguridad Humana'!B12:C12</f>
        <v>EL CUERPO DE BOMBEROS AVANZA</v>
      </c>
      <c r="C7" s="1349"/>
      <c r="D7" s="13">
        <f>+'Seguridad Humana'!I12</f>
        <v>0.66600000000000004</v>
      </c>
      <c r="E7" s="13">
        <f>+'Seguridad Humana'!J12</f>
        <v>1</v>
      </c>
      <c r="F7" s="13">
        <v>1</v>
      </c>
      <c r="G7" s="13">
        <f>+'Seguridad Humana'!K12</f>
        <v>0.35</v>
      </c>
      <c r="H7" s="13">
        <f>+'Seguridad Humana'!L12</f>
        <v>0.35</v>
      </c>
      <c r="I7" s="13">
        <f>+'Seguridad Humana'!V12</f>
        <v>0.5</v>
      </c>
      <c r="J7" s="13">
        <f>+'Seguridad Humana'!Y12</f>
        <v>0.66600000000000004</v>
      </c>
      <c r="K7" s="728">
        <f>+'Seguridad Humana'!Z12</f>
        <v>0.66666666666666663</v>
      </c>
      <c r="L7" s="45">
        <f>+'Seguridad Humana'!AA12</f>
        <v>9.7499999999999989E-2</v>
      </c>
      <c r="M7" s="45">
        <f>+'Seguridad Humana'!AB12</f>
        <v>0.64999999999999991</v>
      </c>
      <c r="N7" s="37"/>
      <c r="O7" s="10"/>
      <c r="P7" s="102"/>
    </row>
    <row r="8" spans="2:20" ht="45" customHeight="1" x14ac:dyDescent="0.7">
      <c r="B8" s="44" t="str">
        <f>+'Seguridad Humana'!B16:C16</f>
        <v>SEGURIDAD YA CON DOTACIÓN A LOS ORGANISMOS DE SEGURIDAD, SOCORRO, JUSTICIA Y CONVIVENCIA Y TECNOLOGÍA PARA LA PREVENCIÓN</v>
      </c>
      <c r="C8" s="1349"/>
      <c r="D8" s="13">
        <f>+'Seguridad Humana'!I16</f>
        <v>0.21866537089073543</v>
      </c>
      <c r="E8" s="13">
        <f>+'Seguridad Humana'!J16</f>
        <v>0.52361748159110777</v>
      </c>
      <c r="F8" s="13">
        <f t="shared" si="2"/>
        <v>0.71259979493664383</v>
      </c>
      <c r="G8" s="13">
        <f>+'Seguridad Humana'!K16</f>
        <v>0.23116977612690295</v>
      </c>
      <c r="H8" s="13">
        <f>+'Seguridad Humana'!L16</f>
        <v>0.53003621333629014</v>
      </c>
      <c r="I8" s="13">
        <f>+'Seguridad Humana'!V16</f>
        <v>0.76968252498594181</v>
      </c>
      <c r="J8" s="104">
        <f>+'Seguridad Humana'!Y16</f>
        <v>0.18898231334553608</v>
      </c>
      <c r="K8" s="13">
        <f>+'Seguridad Humana'!Z16</f>
        <v>0.70675054096239232</v>
      </c>
      <c r="L8" s="45">
        <f>+'Seguridad Humana'!AA16</f>
        <v>3.7150208628344908E-2</v>
      </c>
      <c r="M8" s="45">
        <f>+'Seguridad Humana'!AB16</f>
        <v>0.60071725893871608</v>
      </c>
      <c r="N8" s="37"/>
      <c r="O8" s="10"/>
      <c r="P8" s="102"/>
    </row>
    <row r="9" spans="2:20" ht="36" customHeight="1" x14ac:dyDescent="0.7">
      <c r="B9" s="44" t="str">
        <f>+'Seguridad Humana'!B23:C23</f>
        <v xml:space="preserve"> SEGURIDAD YA EN LAS PLAYAS DE CARTAGENA</v>
      </c>
      <c r="C9" s="1349"/>
      <c r="D9" s="13">
        <f>+'Seguridad Humana'!I23</f>
        <v>0.625</v>
      </c>
      <c r="E9" s="13">
        <f>+'Seguridad Humana'!J23</f>
        <v>0.25</v>
      </c>
      <c r="F9" s="13">
        <f t="shared" si="2"/>
        <v>0.875</v>
      </c>
      <c r="G9" s="104">
        <f>+'Seguridad Humana'!K23</f>
        <v>0.77499999999999991</v>
      </c>
      <c r="H9" s="13">
        <f>+'Seguridad Humana'!L23</f>
        <v>7.4999999999999997E-2</v>
      </c>
      <c r="I9" s="13">
        <f>+'Seguridad Humana'!V23</f>
        <v>1</v>
      </c>
      <c r="J9" s="13">
        <f>+'Seguridad Humana'!Y23</f>
        <v>0.625</v>
      </c>
      <c r="K9" s="13">
        <f>+'Seguridad Humana'!Z23</f>
        <v>0.75</v>
      </c>
      <c r="L9" s="45">
        <f>+'Seguridad Humana'!AA23</f>
        <v>7.7499999999999999E-2</v>
      </c>
      <c r="M9" s="45">
        <f>+'Seguridad Humana'!AB23</f>
        <v>0.85</v>
      </c>
      <c r="N9" s="37"/>
      <c r="O9" s="10"/>
      <c r="P9" s="102"/>
    </row>
    <row r="10" spans="2:20" ht="48" customHeight="1" x14ac:dyDescent="0.7">
      <c r="B10" s="44" t="str">
        <f>+'Seguridad Humana'!B26:C26</f>
        <v xml:space="preserve"> EDUCACIÓN, CULTURA Y SEGURIDAD VIAL PARA AVANZAR</v>
      </c>
      <c r="C10" s="1349"/>
      <c r="D10" s="13">
        <f>+'Seguridad Humana'!I26</f>
        <v>0.15590277777777778</v>
      </c>
      <c r="E10" s="13">
        <f>+'Seguridad Humana'!J26</f>
        <v>0.26105944444444446</v>
      </c>
      <c r="F10" s="13">
        <f t="shared" si="2"/>
        <v>0.48274222222222224</v>
      </c>
      <c r="G10" s="13">
        <f>+'Seguridad Humana'!K26</f>
        <v>0.15590277777777778</v>
      </c>
      <c r="H10" s="13">
        <f>+'Seguridad Humana'!L26</f>
        <v>0.26105944444444446</v>
      </c>
      <c r="I10" s="13">
        <f>+'Seguridad Humana'!V26</f>
        <v>0.87291666666666667</v>
      </c>
      <c r="J10" s="13">
        <f>+'Seguridad Humana'!Y26</f>
        <v>0.22168277777777778</v>
      </c>
      <c r="K10" s="13">
        <f>+'Seguridad Humana'!Z26</f>
        <v>0.66974250000000002</v>
      </c>
      <c r="L10" s="46">
        <f>+'Seguridad Humana'!AA26</f>
        <v>2.216827777777778E-2</v>
      </c>
      <c r="M10" s="46">
        <f>+'Seguridad Humana'!AB26</f>
        <v>0.66974250000000002</v>
      </c>
      <c r="N10" s="37"/>
      <c r="O10" s="10"/>
      <c r="P10" s="102"/>
    </row>
    <row r="11" spans="2:20" ht="99" customHeight="1" x14ac:dyDescent="0.7">
      <c r="B11" s="42" t="str">
        <f>+'Seguridad Humana'!B31:C31</f>
        <v xml:space="preserve">Construccion de paz, Derechos Humanos y Convivencia
</v>
      </c>
      <c r="C11" s="1349"/>
      <c r="D11" s="33">
        <f t="shared" ref="D11:G11" si="5">+(D12+D13+D14+D15+D16+D17+D18+D19)/8</f>
        <v>0.23923611111111112</v>
      </c>
      <c r="E11" s="33">
        <f t="shared" si="5"/>
        <v>0.33642940083979328</v>
      </c>
      <c r="F11" s="33">
        <f t="shared" si="2"/>
        <v>0.58684348701403577</v>
      </c>
      <c r="G11" s="34">
        <f t="shared" si="5"/>
        <v>0.16062499999999999</v>
      </c>
      <c r="H11" s="34">
        <f t="shared" ref="H11:I11" si="6">+(H12+H13+H14+H15+H16+H17+H18+H19)/8</f>
        <v>0.2766173449612403</v>
      </c>
      <c r="I11" s="33">
        <f t="shared" si="6"/>
        <v>0.82692475233100227</v>
      </c>
      <c r="J11" s="33">
        <f>+(J12+J13+J14+J15+J16+J17+J18+J19)/8</f>
        <v>0.25041408617424243</v>
      </c>
      <c r="K11" s="33">
        <f>+(K12+K13+K14+K15+K16+K17+K18+K19)/8</f>
        <v>0.51564037674127183</v>
      </c>
      <c r="L11" s="43">
        <f>+(L12+L13+L14+L15+L16+L17+L18+L19)</f>
        <v>0.19896443750000001</v>
      </c>
      <c r="M11" s="43">
        <f>+'Seguridad Humana'!AB31</f>
        <v>0.49297341860465116</v>
      </c>
      <c r="N11" s="37"/>
      <c r="O11" s="10"/>
      <c r="P11" s="102"/>
    </row>
    <row r="12" spans="2:20" ht="40.200000000000003" customHeight="1" x14ac:dyDescent="0.7">
      <c r="B12" s="44" t="str">
        <f>+'Seguridad Humana'!B32:C32</f>
        <v xml:space="preserve"> UNA VIDA LIBRE DE VIOLENCIA PARA LAS MUJERES</v>
      </c>
      <c r="C12" s="1349"/>
      <c r="D12" s="13">
        <f>+'Seguridad Humana'!I32</f>
        <v>0.17500000000000002</v>
      </c>
      <c r="E12" s="13">
        <f>+'Seguridad Humana'!J32</f>
        <v>0.25</v>
      </c>
      <c r="F12" s="13">
        <f t="shared" si="2"/>
        <v>0.61919999999999997</v>
      </c>
      <c r="G12" s="13">
        <f>+'Seguridad Humana'!K32</f>
        <v>0.1525</v>
      </c>
      <c r="H12" s="13">
        <f>+'Seguridad Humana'!L32</f>
        <v>0.245</v>
      </c>
      <c r="I12" s="13">
        <f>+'Seguridad Humana'!V32</f>
        <v>1</v>
      </c>
      <c r="J12" s="13">
        <f>+'Seguridad Humana'!Y32</f>
        <v>0.36919999999999997</v>
      </c>
      <c r="K12" s="13">
        <f>+'Seguridad Humana'!Z32</f>
        <v>0.84073333333333322</v>
      </c>
      <c r="L12" s="45">
        <f>+'Seguridad Humana'!AA32</f>
        <v>6.1731000000000001E-2</v>
      </c>
      <c r="M12" s="45">
        <f>+'Seguridad Humana'!AB32</f>
        <v>0.87988</v>
      </c>
      <c r="N12" s="37"/>
      <c r="O12" s="10"/>
      <c r="P12" s="102"/>
    </row>
    <row r="13" spans="2:20" ht="30" customHeight="1" x14ac:dyDescent="0.7">
      <c r="B13" s="44" t="str">
        <f>+'Seguridad Humana'!B36:C36</f>
        <v xml:space="preserve"> DERECHO A LA PAZ Y CONVIVENCIA CON EQUIDAD DE GÉNERO</v>
      </c>
      <c r="C13" s="1349"/>
      <c r="D13" s="13">
        <f>+'Seguridad Humana'!I36</f>
        <v>0.25</v>
      </c>
      <c r="E13" s="13">
        <f>+'Seguridad Humana'!J36</f>
        <v>0.21249999999999999</v>
      </c>
      <c r="F13" s="13">
        <f t="shared" si="2"/>
        <v>0.54749999999999999</v>
      </c>
      <c r="G13" s="13">
        <f>+'Seguridad Humana'!K36</f>
        <v>0.25</v>
      </c>
      <c r="H13" s="13">
        <f>+'Seguridad Humana'!L36</f>
        <v>0.19</v>
      </c>
      <c r="I13" s="13">
        <f>+'Seguridad Humana'!V36</f>
        <v>1</v>
      </c>
      <c r="J13" s="13">
        <f>+'Seguridad Humana'!Y36</f>
        <v>0.33499999999999996</v>
      </c>
      <c r="K13" s="13">
        <f>+'Seguridad Humana'!Z36</f>
        <v>0.54749999999999999</v>
      </c>
      <c r="L13" s="45">
        <f>+'Seguridad Humana'!AA36</f>
        <v>3.8600000000000002E-2</v>
      </c>
      <c r="M13" s="45">
        <f>+'Seguridad Humana'!AB36</f>
        <v>0.57599999999999996</v>
      </c>
      <c r="N13" s="37"/>
      <c r="O13" s="10"/>
      <c r="P13" s="102"/>
    </row>
    <row r="14" spans="2:20" ht="28.2" customHeight="1" x14ac:dyDescent="0.7">
      <c r="B14" s="44" t="str">
        <f>+'Seguridad Humana'!B39:C39</f>
        <v>CARTAGENA AVANZA EN CONVIVENCIA</v>
      </c>
      <c r="C14" s="1349"/>
      <c r="D14" s="13">
        <f>+'Seguridad Humana'!I39</f>
        <v>0.18333333333333335</v>
      </c>
      <c r="E14" s="13">
        <f>+'Seguridad Humana'!J39</f>
        <v>0.3520833333333333</v>
      </c>
      <c r="F14" s="13">
        <f t="shared" si="2"/>
        <v>0.62291666666666667</v>
      </c>
      <c r="G14" s="13">
        <f>+'Seguridad Humana'!K39</f>
        <v>0.18333333333333335</v>
      </c>
      <c r="H14" s="13">
        <f>+'Seguridad Humana'!L39</f>
        <v>0.31458333333333333</v>
      </c>
      <c r="I14" s="13">
        <f>+'Seguridad Humana'!V39</f>
        <v>0.75</v>
      </c>
      <c r="J14" s="13">
        <f>+'Seguridad Humana'!Y39</f>
        <v>0.27083333333333337</v>
      </c>
      <c r="K14" s="13">
        <f>+'Seguridad Humana'!Z39</f>
        <v>0.625</v>
      </c>
      <c r="L14" s="45">
        <f>+'Seguridad Humana'!AA39</f>
        <v>3.6874999999999998E-2</v>
      </c>
      <c r="M14" s="45">
        <f>+'Seguridad Humana'!AB39</f>
        <v>0.57499999999999996</v>
      </c>
      <c r="N14" s="37"/>
      <c r="O14" s="10"/>
      <c r="P14" s="102"/>
    </row>
    <row r="15" spans="2:20" ht="69" customHeight="1" x14ac:dyDescent="0.7">
      <c r="B15" s="44" t="str">
        <f>+'Seguridad Humana'!B44:C44</f>
        <v xml:space="preserve"> AVANZANDO EN EL FORTALECIMIENTO DE CASAS DE JUSTICIA, COMISARÍAS DE FAMILIA E INSPECCIONES DE POLICÍA</v>
      </c>
      <c r="C15" s="1349"/>
      <c r="D15" s="13">
        <f>+'Seguridad Humana'!I44</f>
        <v>0.30555555555555552</v>
      </c>
      <c r="E15" s="13">
        <f>+'Seguridad Humana'!J44</f>
        <v>0.6347222222222223</v>
      </c>
      <c r="F15" s="13">
        <f t="shared" si="2"/>
        <v>0.71805555555555567</v>
      </c>
      <c r="G15" s="13">
        <f>+'Seguridad Humana'!K44</f>
        <v>0.16666666666666666</v>
      </c>
      <c r="H15" s="13">
        <f>+'Seguridad Humana'!L44</f>
        <v>0.53083333333333338</v>
      </c>
      <c r="I15" s="13">
        <f>+'Seguridad Humana'!V44</f>
        <v>0.66666666666666663</v>
      </c>
      <c r="J15" s="13">
        <f>+'Seguridad Humana'!Y44</f>
        <v>8.3333333333333329E-2</v>
      </c>
      <c r="K15" s="13">
        <f>+'Seguridad Humana'!Z44</f>
        <v>0.47022380952380949</v>
      </c>
      <c r="L15" s="45">
        <f>+'Seguridad Humana'!AA44</f>
        <v>3.7499999999999999E-3</v>
      </c>
      <c r="M15" s="45">
        <f>+'Seguridad Humana'!AB44</f>
        <v>0.29582333333333333</v>
      </c>
      <c r="N15" s="37"/>
      <c r="O15" s="10"/>
      <c r="P15" s="102"/>
    </row>
    <row r="16" spans="2:20" ht="46.2" customHeight="1" x14ac:dyDescent="0.7">
      <c r="B16" s="44" t="str">
        <f>+'Seguridad Humana'!B52:C52</f>
        <v xml:space="preserve"> ATENCIÓN INTEGRAL A JÓVENES EN SITUACIÓN DE RIESGO SOCIAL</v>
      </c>
      <c r="C16" s="1349"/>
      <c r="D16" s="13">
        <f>+'Seguridad Humana'!I52</f>
        <v>0.25</v>
      </c>
      <c r="E16" s="13">
        <f>+'Seguridad Humana'!J52</f>
        <v>0.32750000000000001</v>
      </c>
      <c r="F16" s="13">
        <f t="shared" si="2"/>
        <v>0.58950000000000002</v>
      </c>
      <c r="G16" s="13">
        <f>+'Seguridad Humana'!K52</f>
        <v>0.125</v>
      </c>
      <c r="H16" s="13">
        <f>+'Seguridad Humana'!L52</f>
        <v>0.32750000000000001</v>
      </c>
      <c r="I16" s="13">
        <f>+'Seguridad Humana'!V52</f>
        <v>0.75</v>
      </c>
      <c r="J16" s="13">
        <f>+'Seguridad Humana'!Y52</f>
        <v>0.26200000000000001</v>
      </c>
      <c r="K16" s="13">
        <f>+'Seguridad Humana'!Z52</f>
        <v>0.50180000000000002</v>
      </c>
      <c r="L16" s="45">
        <f>+'Seguridad Humana'!AA52</f>
        <v>1.9650000000000001E-2</v>
      </c>
      <c r="M16" s="45">
        <f>+'Seguridad Humana'!AB52</f>
        <v>0.50180000000000002</v>
      </c>
      <c r="N16" s="37"/>
      <c r="O16" s="10"/>
      <c r="P16" s="102"/>
    </row>
    <row r="17" spans="2:16" ht="45" customHeight="1" x14ac:dyDescent="0.7">
      <c r="B17" s="44" t="str">
        <f>+'Seguridad Humana'!B57:C57</f>
        <v>ASISTENCIA, ATENCIÓN Y REPARACIÓN EFECTIVA E INTEGRAL A LAS VÍCTIMAS DEL CONFLICTO ARMADO</v>
      </c>
      <c r="C17" s="1349"/>
      <c r="D17" s="13">
        <f>+'Seguridad Humana'!I57</f>
        <v>0.25</v>
      </c>
      <c r="E17" s="13">
        <f>+'Seguridad Humana'!J57</f>
        <v>0.29290000000000005</v>
      </c>
      <c r="F17" s="13">
        <f t="shared" si="2"/>
        <v>0.52662727272727272</v>
      </c>
      <c r="G17" s="13">
        <f>+'Seguridad Humana'!K57</f>
        <v>0.14500000000000005</v>
      </c>
      <c r="H17" s="13">
        <f>+'Seguridad Humana'!L57</f>
        <v>0.14290000000000003</v>
      </c>
      <c r="I17" s="13">
        <f>+'Seguridad Humana'!V57</f>
        <v>0.95048135198135209</v>
      </c>
      <c r="J17" s="13">
        <f>+'Seguridad Humana'!Y57</f>
        <v>0.2337272727272727</v>
      </c>
      <c r="K17" s="13">
        <f>+'Seguridad Humana'!Z57</f>
        <v>0.28501315789473686</v>
      </c>
      <c r="L17" s="45">
        <f>+'Seguridad Humana'!AA57</f>
        <v>1.2710000000000006E-2</v>
      </c>
      <c r="M17" s="45">
        <f>+'Seguridad Humana'!AB57</f>
        <v>0.26117500000000005</v>
      </c>
      <c r="N17" s="37"/>
      <c r="O17" s="10"/>
      <c r="P17" s="102"/>
    </row>
    <row r="18" spans="2:16" ht="46.2" customHeight="1" x14ac:dyDescent="0.7">
      <c r="B18" s="44" t="str">
        <f>+'Seguridad Humana'!B77:C77</f>
        <v>DERECHOS HUMANOS PARA LA VIDA DIGNA</v>
      </c>
      <c r="C18" s="1349"/>
      <c r="D18" s="13">
        <f>+'Seguridad Humana'!I77</f>
        <v>0.25</v>
      </c>
      <c r="E18" s="13">
        <f>+'Seguridad Humana'!J77</f>
        <v>0.37172965116279072</v>
      </c>
      <c r="F18" s="13">
        <f t="shared" si="2"/>
        <v>0.57094840116279078</v>
      </c>
      <c r="G18" s="13">
        <f>+'Seguridad Humana'!K77</f>
        <v>0.13750000000000001</v>
      </c>
      <c r="H18" s="13">
        <f>+'Seguridad Humana'!L77</f>
        <v>0.33712209302325585</v>
      </c>
      <c r="I18" s="13">
        <f>+'Seguridad Humana'!V77</f>
        <v>0.99824999999999997</v>
      </c>
      <c r="J18" s="13">
        <f>+'Seguridad Humana'!Y77</f>
        <v>0.19921875</v>
      </c>
      <c r="K18" s="13">
        <f>+'Seguridad Humana'!Z77</f>
        <v>0.52151937984496133</v>
      </c>
      <c r="L18" s="45">
        <f>+'Seguridad Humana'!AA77</f>
        <v>1.3148437499999999E-2</v>
      </c>
      <c r="M18" s="45">
        <f>+'Seguridad Humana'!AB77</f>
        <v>0.52630418604651164</v>
      </c>
      <c r="N18" s="37"/>
      <c r="O18" s="10"/>
      <c r="P18" s="102"/>
    </row>
    <row r="19" spans="2:16" ht="44.4" customHeight="1" x14ac:dyDescent="0.7">
      <c r="B19" s="44" t="str">
        <f>+'Seguridad Humana'!B87:C87</f>
        <v>SISTEMA PENITENCIARIO Y CARCELARIO EN EL MARCO DE LOS DERECHOS HUMANOS</v>
      </c>
      <c r="C19" s="1349"/>
      <c r="D19" s="13">
        <f>+'Seguridad Humana'!I87</f>
        <v>0.25</v>
      </c>
      <c r="E19" s="13">
        <f>+'Seguridad Humana'!J87</f>
        <v>0.25</v>
      </c>
      <c r="F19" s="13">
        <f t="shared" si="2"/>
        <v>0.5</v>
      </c>
      <c r="G19" s="13">
        <f>+'Seguridad Humana'!K87</f>
        <v>0.125</v>
      </c>
      <c r="H19" s="13">
        <f>+'Seguridad Humana'!L87</f>
        <v>0.125</v>
      </c>
      <c r="I19" s="13">
        <f>+'Seguridad Humana'!V87</f>
        <v>0.5</v>
      </c>
      <c r="J19" s="13">
        <f>+'Seguridad Humana'!Y87</f>
        <v>0.25</v>
      </c>
      <c r="K19" s="13">
        <f>+'Seguridad Humana'!Z87</f>
        <v>0.33333333333333331</v>
      </c>
      <c r="L19" s="45">
        <f>+'Seguridad Humana'!AA87</f>
        <v>1.2500000000000001E-2</v>
      </c>
      <c r="M19" s="45">
        <f>+'Seguridad Humana'!AB87</f>
        <v>0.1875</v>
      </c>
      <c r="N19" s="37"/>
      <c r="O19" s="10"/>
      <c r="P19" s="102"/>
    </row>
    <row r="20" spans="2:16" ht="88.95" customHeight="1" x14ac:dyDescent="0.7">
      <c r="B20" s="42" t="str">
        <f>+'Seguridad Humana'!B91:C91</f>
        <v xml:space="preserve"> Salud Pública y Aseguramiento
</v>
      </c>
      <c r="C20" s="1349"/>
      <c r="D20" s="33">
        <f t="shared" ref="D20:G20" si="7">+(D21+D22+D23+D24+D25)/5</f>
        <v>0.23229102167182664</v>
      </c>
      <c r="E20" s="33">
        <f t="shared" si="7"/>
        <v>0.33879772961816307</v>
      </c>
      <c r="F20" s="33">
        <f t="shared" si="2"/>
        <v>0.54395347999674115</v>
      </c>
      <c r="G20" s="34">
        <f t="shared" si="7"/>
        <v>0.15700735294117646</v>
      </c>
      <c r="H20" s="34">
        <f t="shared" ref="H20" si="8">+(H21+H22+H23+H24+H25)/5</f>
        <v>0.37183088235294115</v>
      </c>
      <c r="I20" s="33">
        <f>+(I21+I22+I23+I24+I25)/5</f>
        <v>0.88713331914538984</v>
      </c>
      <c r="J20" s="33">
        <f>+(J21+J22+J23+J24+J25)/5</f>
        <v>0.20515575037857808</v>
      </c>
      <c r="K20" s="33">
        <f>+(K21+K22+K23+K24+K25)/5</f>
        <v>0.43842939618684557</v>
      </c>
      <c r="L20" s="43">
        <f>+(L21+L22+L23+L24+L25)</f>
        <v>0.19010083782604881</v>
      </c>
      <c r="M20" s="43">
        <f>+'Seguridad Humana'!AB91</f>
        <v>0.40754170935687423</v>
      </c>
      <c r="N20" s="37"/>
      <c r="O20" s="10"/>
      <c r="P20" s="102"/>
    </row>
    <row r="21" spans="2:16" ht="54" customHeight="1" x14ac:dyDescent="0.7">
      <c r="B21" s="44" t="str">
        <f>+'Seguridad Humana'!B92:C92</f>
        <v xml:space="preserve"> SALUD CON COBERTURA, ACCESIBILIDAD, CALIDAD E INCLUSIÓN</v>
      </c>
      <c r="C21" s="1349"/>
      <c r="D21" s="13">
        <f>+'Seguridad Humana'!I92</f>
        <v>0.25</v>
      </c>
      <c r="E21" s="13">
        <f>+'Seguridad Humana'!J92</f>
        <v>0.29166666666666669</v>
      </c>
      <c r="F21" s="13">
        <f t="shared" si="2"/>
        <v>0.50460164873866309</v>
      </c>
      <c r="G21" s="13">
        <f>+'Seguridad Humana'!K92</f>
        <v>0.16250000000000003</v>
      </c>
      <c r="H21" s="13">
        <f>+'Seguridad Humana'!L92</f>
        <v>0.33750000000000002</v>
      </c>
      <c r="I21" s="13">
        <f>+'Seguridad Humana'!V92</f>
        <v>0.86536666666666673</v>
      </c>
      <c r="J21" s="13">
        <f>+'Seguridad Humana'!Y92</f>
        <v>0.21293498207199635</v>
      </c>
      <c r="K21" s="13">
        <f>+'Seguridad Humana'!Z92</f>
        <v>0.47128507167773109</v>
      </c>
      <c r="L21" s="45">
        <f>+'Seguridad Humana'!AA92</f>
        <v>5.944380429531565E-2</v>
      </c>
      <c r="M21" s="45">
        <f>+'Seguridad Humana'!AB92</f>
        <v>0.34224696772547941</v>
      </c>
      <c r="N21" s="37"/>
      <c r="O21" s="10"/>
      <c r="P21" s="102"/>
    </row>
    <row r="22" spans="2:16" ht="31.2" customHeight="1" x14ac:dyDescent="0.7">
      <c r="B22" s="44" t="s">
        <v>1607</v>
      </c>
      <c r="C22" s="1349"/>
      <c r="D22" s="13">
        <f>+'Seguridad Humana'!I99</f>
        <v>0.17499999999999999</v>
      </c>
      <c r="E22" s="13">
        <f>+'Seguridad Humana'!J99</f>
        <v>0.27500000000000002</v>
      </c>
      <c r="F22" s="13">
        <f t="shared" si="2"/>
        <v>0.47331666666666672</v>
      </c>
      <c r="G22" s="13">
        <f>+'Seguridad Humana'!K99</f>
        <v>0.19</v>
      </c>
      <c r="H22" s="13">
        <f>+'Seguridad Humana'!L99</f>
        <v>0.27</v>
      </c>
      <c r="I22" s="13">
        <f>+'Seguridad Humana'!V99</f>
        <v>1</v>
      </c>
      <c r="J22" s="13">
        <f>+'Seguridad Humana'!Y99</f>
        <v>0.19831666666666667</v>
      </c>
      <c r="K22" s="13">
        <f>+'Seguridad Humana'!Z99</f>
        <v>0.50011666666666665</v>
      </c>
      <c r="L22" s="45">
        <f>+'Seguridad Humana'!AA99</f>
        <v>2.1048000000000001E-2</v>
      </c>
      <c r="M22" s="45">
        <f>+'Seguridad Humana'!AB99</f>
        <v>0.50266000000000011</v>
      </c>
      <c r="N22" s="37"/>
      <c r="O22" s="10"/>
      <c r="P22" s="102"/>
    </row>
    <row r="23" spans="2:16" ht="70.2" customHeight="1" x14ac:dyDescent="0.7">
      <c r="B23" s="44" t="s">
        <v>1608</v>
      </c>
      <c r="C23" s="1349"/>
      <c r="D23" s="13">
        <f>+'Seguridad Humana'!I102</f>
        <v>0.25</v>
      </c>
      <c r="E23" s="13">
        <f>+'Seguridad Humana'!J102</f>
        <v>0.625</v>
      </c>
      <c r="F23" s="13">
        <f t="shared" si="2"/>
        <v>0.74137931034482762</v>
      </c>
      <c r="G23" s="13">
        <f>+'Seguridad Humana'!K102</f>
        <v>0.05</v>
      </c>
      <c r="H23" s="13">
        <f>+'Seguridad Humana'!L102</f>
        <v>0.85000000000000009</v>
      </c>
      <c r="I23" s="13">
        <f>+'Seguridad Humana'!V102</f>
        <v>0.625</v>
      </c>
      <c r="J23" s="13">
        <f>+'Seguridad Humana'!Y102</f>
        <v>0.11637931034482758</v>
      </c>
      <c r="K23" s="13">
        <f>+'Seguridad Humana'!Z102</f>
        <v>0.36637931034482762</v>
      </c>
      <c r="L23" s="45">
        <f>+'Seguridad Humana'!AA102</f>
        <v>4.6551724137931039E-3</v>
      </c>
      <c r="M23" s="45">
        <f>+'Seguridad Humana'!AB102</f>
        <v>9.6551724137931047E-2</v>
      </c>
      <c r="N23" s="37"/>
      <c r="O23" s="10"/>
      <c r="P23" s="102"/>
    </row>
    <row r="24" spans="2:16" ht="28.95" customHeight="1" x14ac:dyDescent="0.7">
      <c r="B24" s="44" t="s">
        <v>1629</v>
      </c>
      <c r="C24" s="1349"/>
      <c r="D24" s="13">
        <f>+'Seguridad Humana'!I105</f>
        <v>0.23645510835913311</v>
      </c>
      <c r="E24" s="13">
        <f>+'Seguridad Humana'!J105</f>
        <v>0.25232198142414858</v>
      </c>
      <c r="F24" s="13">
        <f t="shared" si="2"/>
        <v>0.50046977423354821</v>
      </c>
      <c r="G24" s="13">
        <f>+'Seguridad Humana'!K105</f>
        <v>0.2325367647058823</v>
      </c>
      <c r="H24" s="13">
        <f>+'Seguridad Humana'!L105</f>
        <v>0.25165441176470582</v>
      </c>
      <c r="I24" s="13">
        <f>+'Seguridad Humana'!V105</f>
        <v>0.94529992906028248</v>
      </c>
      <c r="J24" s="13">
        <f>+'Seguridad Humana'!Y105</f>
        <v>0.24814779280939966</v>
      </c>
      <c r="K24" s="13">
        <f>+'Seguridad Humana'!Z105</f>
        <v>0.54186593224500235</v>
      </c>
      <c r="L24" s="45">
        <f>+'Seguridad Humana'!AA105</f>
        <v>9.7453861116940044E-2</v>
      </c>
      <c r="M24" s="45">
        <f>+'Seguridad Humana'!AB105</f>
        <v>0.53208524559790826</v>
      </c>
      <c r="N24" s="37"/>
      <c r="O24" s="10"/>
      <c r="P24" s="102"/>
    </row>
    <row r="25" spans="2:16" ht="46.2" customHeight="1" x14ac:dyDescent="0.7">
      <c r="B25" s="44" t="s">
        <v>1630</v>
      </c>
      <c r="C25" s="1349"/>
      <c r="D25" s="13">
        <f>+'Seguridad Humana'!I125</f>
        <v>0.25</v>
      </c>
      <c r="E25" s="13">
        <f>+'Seguridad Humana'!J125</f>
        <v>0.25</v>
      </c>
      <c r="F25" s="13">
        <f t="shared" si="2"/>
        <v>0.5</v>
      </c>
      <c r="G25" s="13">
        <f>+'Seguridad Humana'!K125</f>
        <v>0.15</v>
      </c>
      <c r="H25" s="13">
        <f>+'Seguridad Humana'!L125</f>
        <v>0.15</v>
      </c>
      <c r="I25" s="13">
        <f>+'Seguridad Humana'!V125</f>
        <v>1</v>
      </c>
      <c r="J25" s="13">
        <f>+'Seguridad Humana'!Y125</f>
        <v>0.25</v>
      </c>
      <c r="K25" s="13">
        <f>+'Seguridad Humana'!Z125</f>
        <v>0.3125</v>
      </c>
      <c r="L25" s="45">
        <f>+'Seguridad Humana'!AA125</f>
        <v>7.4999999999999997E-3</v>
      </c>
      <c r="M25" s="45">
        <f>+'Seguridad Humana'!AB125</f>
        <v>0.3</v>
      </c>
      <c r="N25" s="37"/>
      <c r="O25" s="10"/>
      <c r="P25" s="102"/>
    </row>
    <row r="26" spans="2:16" ht="78.599999999999994" customHeight="1" x14ac:dyDescent="0.7">
      <c r="B26" s="42" t="str">
        <f>+'Seguridad Humana'!B130:C130</f>
        <v xml:space="preserve">Atención Integral a Grupos de Especial Protección
</v>
      </c>
      <c r="C26" s="1349"/>
      <c r="D26" s="33">
        <f>+(D27+D28+D29+D30+D31+D32+D33)/6</f>
        <v>0.3193759495300631</v>
      </c>
      <c r="E26" s="33">
        <f>+(E27+E28+E29+E30+E31+E32+E33)/7</f>
        <v>0.36067241266804129</v>
      </c>
      <c r="F26" s="33">
        <f t="shared" si="2"/>
        <v>0.6068847164726574</v>
      </c>
      <c r="G26" s="34">
        <f>+(G27+G28+G29+G30+G31+G32+G33)/6</f>
        <v>0.17451004248744692</v>
      </c>
      <c r="H26" s="34">
        <f>+(H27+H28+H29+H30+H31+H32+H33)/7</f>
        <v>0.31558347607692649</v>
      </c>
      <c r="I26" s="33">
        <f>+(I27+I28+I29+I30+I31+I32+I33)/7</f>
        <v>0.93408960568490651</v>
      </c>
      <c r="J26" s="33">
        <f>+(J27+J28+J29+J30+J31+J32+J33)/6</f>
        <v>0.24621230380461609</v>
      </c>
      <c r="K26" s="33">
        <f>+(K27+K28+K29+K30+K31+K32+K33)/6</f>
        <v>0.62883910107787166</v>
      </c>
      <c r="L26" s="43">
        <f>+(L27+L28+L29+L30+L31+L32+L33)</f>
        <v>0.18458001541682623</v>
      </c>
      <c r="M26" s="43">
        <f>+'Seguridad Humana'!AB130</f>
        <v>0.46920061064175028</v>
      </c>
      <c r="N26" s="37"/>
      <c r="O26" s="10"/>
      <c r="P26" s="102"/>
    </row>
    <row r="27" spans="2:16" ht="42.6" customHeight="1" x14ac:dyDescent="0.7">
      <c r="B27" s="44" t="s">
        <v>1611</v>
      </c>
      <c r="C27" s="1349"/>
      <c r="D27" s="13">
        <f>+'Seguridad Humana'!I131</f>
        <v>0.33333333333333331</v>
      </c>
      <c r="E27" s="13">
        <f>+'Seguridad Humana'!J131</f>
        <v>0.39999999999999997</v>
      </c>
      <c r="F27" s="13">
        <f t="shared" si="2"/>
        <v>0.62653274519154345</v>
      </c>
      <c r="G27" s="13">
        <f>+'Seguridad Humana'!K131</f>
        <v>0.21750000000000003</v>
      </c>
      <c r="H27" s="13">
        <f>+'Seguridad Humana'!L131</f>
        <v>0.21250000000000002</v>
      </c>
      <c r="I27" s="13">
        <f>+'Seguridad Humana'!V131</f>
        <v>0.81556645548061846</v>
      </c>
      <c r="J27" s="13">
        <f>+'Seguridad Humana'!Y131</f>
        <v>0.22653274519154346</v>
      </c>
      <c r="K27" s="13">
        <f>+'Seguridad Humana'!Z131</f>
        <v>0.56705472103004295</v>
      </c>
      <c r="L27" s="45">
        <f>+'Seguridad Humana'!AA131</f>
        <v>3.155922746781116E-2</v>
      </c>
      <c r="M27" s="45">
        <f>+'Seguridad Humana'!AB131</f>
        <v>0.42271566523605159</v>
      </c>
      <c r="N27" s="37"/>
      <c r="O27" s="10"/>
      <c r="P27" s="102"/>
    </row>
    <row r="28" spans="2:16" ht="81" customHeight="1" x14ac:dyDescent="0.7">
      <c r="B28" s="44" t="s">
        <v>1612</v>
      </c>
      <c r="C28" s="1349"/>
      <c r="D28" s="13">
        <f>+'Seguridad Humana'!I140</f>
        <v>0.23392236384704518</v>
      </c>
      <c r="E28" s="13">
        <f>+'Seguridad Humana'!J140</f>
        <v>0.25535921205098494</v>
      </c>
      <c r="F28" s="13">
        <f t="shared" si="2"/>
        <v>0.39325028968713793</v>
      </c>
      <c r="G28" s="13">
        <f>+'Seguridad Humana'!K140</f>
        <v>0.22106025492468134</v>
      </c>
      <c r="H28" s="13">
        <f>+'Seguridad Humana'!L140</f>
        <v>0.2596465816917729</v>
      </c>
      <c r="I28" s="13">
        <f>+'Seguridad Humana'!V140</f>
        <v>1</v>
      </c>
      <c r="J28" s="13">
        <f>+'Seguridad Humana'!Y140</f>
        <v>0.13789107763615296</v>
      </c>
      <c r="K28" s="13">
        <f>+'Seguridad Humana'!Z140</f>
        <v>0.51926419466975671</v>
      </c>
      <c r="L28" s="45">
        <f>+'Seguridad Humana'!AA140</f>
        <v>4.9640787949015074E-2</v>
      </c>
      <c r="M28" s="45">
        <f>+'Seguridad Humana'!AB140</f>
        <v>0.53467555040556203</v>
      </c>
      <c r="N28" s="37"/>
      <c r="O28" s="10"/>
      <c r="P28" s="102"/>
    </row>
    <row r="29" spans="2:16" ht="51" customHeight="1" x14ac:dyDescent="0.7">
      <c r="B29" s="44" t="s">
        <v>1613</v>
      </c>
      <c r="C29" s="1349"/>
      <c r="D29" s="13">
        <f>+'Seguridad Humana'!I143</f>
        <v>0.25</v>
      </c>
      <c r="E29" s="13">
        <f>+'Seguridad Humana'!J143</f>
        <v>0.27083333333333337</v>
      </c>
      <c r="F29" s="13">
        <f t="shared" si="2"/>
        <v>0.47375</v>
      </c>
      <c r="G29" s="13">
        <f>+'Seguridad Humana'!K143</f>
        <v>0.25</v>
      </c>
      <c r="H29" s="13">
        <f>+'Seguridad Humana'!L143</f>
        <v>0.28000000000000003</v>
      </c>
      <c r="I29" s="13">
        <f>+'Seguridad Humana'!V143</f>
        <v>0.98529411764705888</v>
      </c>
      <c r="J29" s="13">
        <f>+'Seguridad Humana'!Y143</f>
        <v>0.20291666666666666</v>
      </c>
      <c r="K29" s="13">
        <f>+'Seguridad Humana'!Z143</f>
        <v>0.46958333333333335</v>
      </c>
      <c r="L29" s="45">
        <f>+'Seguridad Humana'!AA143</f>
        <v>1.9800000000000002E-2</v>
      </c>
      <c r="M29" s="45">
        <f>+'Seguridad Humana'!AB143</f>
        <v>0.47299999999999998</v>
      </c>
      <c r="N29" s="37"/>
      <c r="O29" s="10"/>
      <c r="P29" s="102"/>
    </row>
    <row r="30" spans="2:16" ht="41.4" customHeight="1" x14ac:dyDescent="0.7">
      <c r="B30" s="44" t="s">
        <v>1614</v>
      </c>
      <c r="C30" s="1349"/>
      <c r="D30" s="13">
        <f>+'Seguridad Humana'!I148</f>
        <v>0.25</v>
      </c>
      <c r="E30" s="13">
        <f>+'Seguridad Humana'!J148</f>
        <v>0.22500000000000001</v>
      </c>
      <c r="F30" s="13">
        <f t="shared" si="2"/>
        <v>0.63333333333333341</v>
      </c>
      <c r="G30" s="13">
        <f>+'Seguridad Humana'!K148</f>
        <v>0.15000000000000002</v>
      </c>
      <c r="H30" s="13">
        <f>+'Seguridad Humana'!L148</f>
        <v>0.20374999999999999</v>
      </c>
      <c r="I30" s="13">
        <f>+'Seguridad Humana'!V148</f>
        <v>1</v>
      </c>
      <c r="J30" s="13">
        <f>+'Seguridad Humana'!Y148</f>
        <v>0.40833333333333338</v>
      </c>
      <c r="K30" s="13">
        <f>+'Seguridad Humana'!Z148</f>
        <v>0.55000000000000004</v>
      </c>
      <c r="L30" s="45">
        <f>+'Seguridad Humana'!AA148</f>
        <v>4.4250000000000005E-2</v>
      </c>
      <c r="M30" s="45">
        <f>+'Seguridad Humana'!AB148</f>
        <v>0.45500000000000002</v>
      </c>
      <c r="N30" s="37"/>
      <c r="O30" s="10"/>
      <c r="P30" s="102"/>
    </row>
    <row r="31" spans="2:16" ht="40.950000000000003" customHeight="1" x14ac:dyDescent="0.7">
      <c r="B31" s="44" t="s">
        <v>1631</v>
      </c>
      <c r="C31" s="1349"/>
      <c r="D31" s="13">
        <f>+'Seguridad Humana'!I153</f>
        <v>0.625</v>
      </c>
      <c r="E31" s="13">
        <f>+'Seguridad Humana'!J153</f>
        <v>0.45611434329197087</v>
      </c>
      <c r="F31" s="13">
        <f t="shared" si="2"/>
        <v>0.70611434329197087</v>
      </c>
      <c r="G31" s="13">
        <f>+'Seguridad Humana'!K153</f>
        <v>6.25E-2</v>
      </c>
      <c r="H31" s="13">
        <f>+'Seguridad Humana'!L153</f>
        <v>0.36258775084671224</v>
      </c>
      <c r="I31" s="13">
        <f>+'Seguridad Humana'!V153</f>
        <v>0.96026666666666682</v>
      </c>
      <c r="J31" s="13">
        <f>+'Seguridad Humana'!Y153</f>
        <v>0.25</v>
      </c>
      <c r="K31" s="13">
        <f>+'Seguridad Humana'!Z153</f>
        <v>0.61533235743409687</v>
      </c>
      <c r="L31" s="45">
        <f>+'Seguridad Humana'!AA153</f>
        <v>1.2500000000000002E-3</v>
      </c>
      <c r="M31" s="45">
        <f>+'Seguridad Humana'!AB153</f>
        <v>0.42064735026855027</v>
      </c>
      <c r="N31" s="37"/>
      <c r="O31" s="10"/>
      <c r="P31" s="102"/>
    </row>
    <row r="32" spans="2:16" ht="28.95" customHeight="1" x14ac:dyDescent="0.7">
      <c r="B32" s="44" t="s">
        <v>1632</v>
      </c>
      <c r="C32" s="1349"/>
      <c r="D32" s="13">
        <f>+'Seguridad Humana'!I160</f>
        <v>0.22400000000000003</v>
      </c>
      <c r="E32" s="13">
        <f>+'Seguridad Humana'!J160</f>
        <v>0.29239999999999999</v>
      </c>
      <c r="F32" s="13">
        <f t="shared" si="2"/>
        <v>0.54400000000000004</v>
      </c>
      <c r="G32" s="13">
        <f>+'Seguridad Humana'!K160</f>
        <v>0.14599999999999999</v>
      </c>
      <c r="H32" s="13">
        <f>+'Seguridad Humana'!L160</f>
        <v>0.2656</v>
      </c>
      <c r="I32" s="13">
        <f>+'Seguridad Humana'!V160</f>
        <v>0.96250000000000002</v>
      </c>
      <c r="J32" s="13">
        <f>+'Seguridad Humana'!Y160</f>
        <v>0.25159999999999999</v>
      </c>
      <c r="K32" s="13">
        <f>+'Seguridad Humana'!Z160</f>
        <v>0.61180000000000001</v>
      </c>
      <c r="L32" s="45">
        <f>+'Seguridad Humana'!AA160</f>
        <v>3.8080000000000003E-2</v>
      </c>
      <c r="M32" s="45">
        <f>+'Seguridad Humana'!AB160</f>
        <v>0.48270000000000007</v>
      </c>
      <c r="N32" s="37"/>
      <c r="O32" s="10"/>
      <c r="P32" s="102"/>
    </row>
    <row r="33" spans="2:16" ht="39.6" customHeight="1" x14ac:dyDescent="0.7">
      <c r="B33" s="44" t="s">
        <v>1633</v>
      </c>
      <c r="C33" s="1349"/>
      <c r="D33" s="13">
        <f>+'Seguridad Humana'!I166</f>
        <v>0</v>
      </c>
      <c r="E33" s="13">
        <f>+'Seguridad Humana'!J166</f>
        <v>0.625</v>
      </c>
      <c r="F33" s="13">
        <f t="shared" si="2"/>
        <v>0.625</v>
      </c>
      <c r="G33" s="13">
        <f>+'Seguridad Humana'!K166</f>
        <v>0</v>
      </c>
      <c r="H33" s="13">
        <f>+'Seguridad Humana'!L166</f>
        <v>0.625</v>
      </c>
      <c r="I33" s="13">
        <f>+'Seguridad Humana'!V166</f>
        <v>0.81500000000000006</v>
      </c>
      <c r="J33" s="13">
        <f>+'Seguridad Humana'!Y166</f>
        <v>0</v>
      </c>
      <c r="K33" s="13">
        <f>+'Seguridad Humana'!Z166</f>
        <v>0.44000000000000006</v>
      </c>
      <c r="L33" s="45">
        <f>+'Seguridad Humana'!AA166</f>
        <v>0</v>
      </c>
      <c r="M33" s="45">
        <f>+'Seguridad Humana'!AB166</f>
        <v>0.437</v>
      </c>
      <c r="N33" s="37"/>
      <c r="O33" s="10"/>
      <c r="P33" s="102"/>
    </row>
    <row r="34" spans="2:16" ht="88.95" customHeight="1" x14ac:dyDescent="0.7">
      <c r="B34" s="42" t="str">
        <f>+'Seguridad Humana'!B171:C171</f>
        <v xml:space="preserve">Superación de la pobreza extrema y soberanía alimentaria
</v>
      </c>
      <c r="C34" s="1349"/>
      <c r="D34" s="33">
        <f t="shared" ref="D34:G34" si="9">+(D35+D36+D37+D38+D39+D40+D41+D42+D43+D44+D45)/11</f>
        <v>0.15789568518161531</v>
      </c>
      <c r="E34" s="33">
        <f t="shared" si="9"/>
        <v>0.31747360226895655</v>
      </c>
      <c r="F34" s="33">
        <f t="shared" si="2"/>
        <v>0.48976309154789766</v>
      </c>
      <c r="G34" s="34">
        <f t="shared" si="9"/>
        <v>0.13500023925638274</v>
      </c>
      <c r="H34" s="34">
        <f t="shared" ref="H34:I34" si="10">+(H35+H36+H37+H38+H39+H40+H41+H42+H43+H44+H45)/11</f>
        <v>0.29944978534279126</v>
      </c>
      <c r="I34" s="33">
        <f t="shared" si="10"/>
        <v>0.78967245971620981</v>
      </c>
      <c r="J34" s="33">
        <f>+(J35+J36+J37+J38+J39+J40+J41+J42+J43+J44+J45)/11</f>
        <v>0.17228948927894114</v>
      </c>
      <c r="K34" s="33">
        <f>+(K35+K36+K37+K38+K39+K40+K41+K42+K43+K44+K45)/11</f>
        <v>0.46829141731287866</v>
      </c>
      <c r="L34" s="43">
        <f>+(L35+L36+L37+L38+L39+L40+L41+L42+L43+L44+L45)</f>
        <v>0.14750248083618644</v>
      </c>
      <c r="M34" s="43">
        <f>+'Seguridad Humana'!AB171</f>
        <v>0.46227019141616099</v>
      </c>
      <c r="N34" s="37"/>
      <c r="O34" s="10"/>
      <c r="P34" s="102"/>
    </row>
    <row r="35" spans="2:16" ht="61.95" customHeight="1" x14ac:dyDescent="0.7">
      <c r="B35" s="44" t="s">
        <v>1618</v>
      </c>
      <c r="C35" s="1349"/>
      <c r="D35" s="13">
        <f>+'Seguridad Humana'!I172</f>
        <v>0.125</v>
      </c>
      <c r="E35" s="13">
        <f>+'Seguridad Humana'!J172</f>
        <v>0.33096590909090906</v>
      </c>
      <c r="F35" s="13">
        <f t="shared" si="2"/>
        <v>0.49196590909090909</v>
      </c>
      <c r="G35" s="13">
        <f>+'Seguridad Humana'!K172</f>
        <v>8.7499999999999994E-2</v>
      </c>
      <c r="H35" s="13">
        <f>+'Seguridad Humana'!L172</f>
        <v>0.33607954545454544</v>
      </c>
      <c r="I35" s="13">
        <f>+'Seguridad Humana'!V172</f>
        <v>0.78054545454545454</v>
      </c>
      <c r="J35" s="13">
        <f>+'Seguridad Humana'!Y172</f>
        <v>0.161</v>
      </c>
      <c r="K35" s="13">
        <f>+'Seguridad Humana'!Z172</f>
        <v>0.34830113636363635</v>
      </c>
      <c r="L35" s="45">
        <f>+'Seguridad Humana'!AA172</f>
        <v>5.6350000000000003E-3</v>
      </c>
      <c r="M35" s="45">
        <f>+'Seguridad Humana'!AB172</f>
        <v>0.35053068181818181</v>
      </c>
      <c r="N35" s="37"/>
      <c r="O35" s="10"/>
      <c r="P35" s="102"/>
    </row>
    <row r="36" spans="2:16" ht="45" customHeight="1" x14ac:dyDescent="0.7">
      <c r="B36" s="44" t="s">
        <v>1619</v>
      </c>
      <c r="C36" s="1349"/>
      <c r="D36" s="13">
        <f>+'Seguridad Humana'!I175</f>
        <v>0.30833333333333335</v>
      </c>
      <c r="E36" s="13">
        <f>+'Seguridad Humana'!J175</f>
        <v>0.48893333333333339</v>
      </c>
      <c r="F36" s="13">
        <f t="shared" si="2"/>
        <v>0.87200833333333339</v>
      </c>
      <c r="G36" s="13">
        <f>+'Seguridad Humana'!K175</f>
        <v>0.20500000000000002</v>
      </c>
      <c r="H36" s="13">
        <f>+'Seguridad Humana'!L175</f>
        <v>0.46671999999999997</v>
      </c>
      <c r="I36" s="13">
        <f>+'Seguridad Humana'!V175</f>
        <v>1</v>
      </c>
      <c r="J36" s="13">
        <f>+'Seguridad Humana'!Y175</f>
        <v>0.383075</v>
      </c>
      <c r="K36" s="13">
        <f>+'Seguridad Humana'!Z175</f>
        <v>0.76648888888888889</v>
      </c>
      <c r="L36" s="45">
        <f>+'Seguridad Humana'!AA175</f>
        <v>2.6718500000000003E-2</v>
      </c>
      <c r="M36" s="45">
        <f>+'Seguridad Humana'!AB175</f>
        <v>0.75401999999999991</v>
      </c>
      <c r="N36" s="37"/>
      <c r="O36" s="10"/>
      <c r="P36" s="102"/>
    </row>
    <row r="37" spans="2:16" ht="30.6" customHeight="1" x14ac:dyDescent="0.7">
      <c r="B37" s="44" t="s">
        <v>1634</v>
      </c>
      <c r="C37" s="1349"/>
      <c r="D37" s="13">
        <f>+'Seguridad Humana'!I179</f>
        <v>0.1752103260310604</v>
      </c>
      <c r="E37" s="13">
        <f>+'Seguridad Humana'!J179</f>
        <v>0.31178031471767975</v>
      </c>
      <c r="F37" s="13">
        <f t="shared" si="2"/>
        <v>0.42014576416743804</v>
      </c>
      <c r="G37" s="13">
        <f>+'Seguridad Humana'!K179</f>
        <v>0.17445397511056257</v>
      </c>
      <c r="H37" s="13">
        <f>+'Seguridad Humana'!L179</f>
        <v>0.31513853748842946</v>
      </c>
      <c r="I37" s="13">
        <f>+'Seguridad Humana'!V179</f>
        <v>0.94106875000000001</v>
      </c>
      <c r="J37" s="13">
        <f>+'Seguridad Humana'!Y179</f>
        <v>0.1083654494497583</v>
      </c>
      <c r="K37" s="13">
        <f>+'Seguridad Humana'!Z179</f>
        <v>0.41810057338270079</v>
      </c>
      <c r="L37" s="45">
        <f>+'Seguridad Humana'!AA179</f>
        <v>1.2047093098837808E-2</v>
      </c>
      <c r="M37" s="45">
        <f>+'Seguridad Humana'!AB179</f>
        <v>0.4377733158490178</v>
      </c>
      <c r="N37" s="37"/>
      <c r="O37" s="10"/>
      <c r="P37" s="102"/>
    </row>
    <row r="38" spans="2:16" ht="34.200000000000003" customHeight="1" x14ac:dyDescent="0.7">
      <c r="B38" s="44" t="s">
        <v>1635</v>
      </c>
      <c r="C38" s="1349"/>
      <c r="D38" s="13">
        <f>+'Seguridad Humana'!I184</f>
        <v>4.2000000000000003E-2</v>
      </c>
      <c r="E38" s="13">
        <f>+'Seguridad Humana'!J184</f>
        <v>0.33</v>
      </c>
      <c r="F38" s="13">
        <f t="shared" si="2"/>
        <v>0.33</v>
      </c>
      <c r="G38" s="13">
        <f>+'Seguridad Humana'!K184</f>
        <v>4.2000000000000003E-2</v>
      </c>
      <c r="H38" s="13">
        <f>+'Seguridad Humana'!L184</f>
        <v>0.33</v>
      </c>
      <c r="I38" s="13">
        <f>+'Seguridad Humana'!V184</f>
        <v>7.575757575757576E-2</v>
      </c>
      <c r="J38" s="13">
        <f>+'Seguridad Humana'!Y184</f>
        <v>0</v>
      </c>
      <c r="K38" s="13">
        <f>+'Seguridad Humana'!Z184</f>
        <v>2.5000000000000001E-2</v>
      </c>
      <c r="L38" s="45">
        <f>+'Seguridad Humana'!AA184</f>
        <v>0</v>
      </c>
      <c r="M38" s="45">
        <f>+'Seguridad Humana'!AB184</f>
        <v>2.5000000000000001E-2</v>
      </c>
      <c r="N38" s="37"/>
      <c r="O38" s="10"/>
      <c r="P38" s="102"/>
    </row>
    <row r="39" spans="2:16" ht="53.4" customHeight="1" x14ac:dyDescent="0.7">
      <c r="B39" s="44" t="s">
        <v>1636</v>
      </c>
      <c r="C39" s="1349"/>
      <c r="D39" s="13">
        <f>+'Seguridad Humana'!I186</f>
        <v>0.13873355263157894</v>
      </c>
      <c r="E39" s="13">
        <f>+'Seguridad Humana'!J186</f>
        <v>0.30382894736842103</v>
      </c>
      <c r="F39" s="13">
        <f t="shared" si="2"/>
        <v>0.48595970394736843</v>
      </c>
      <c r="G39" s="13">
        <f>+'Seguridad Humana'!K186</f>
        <v>0.11001315789473685</v>
      </c>
      <c r="H39" s="13">
        <f>+'Seguridad Humana'!L186</f>
        <v>0.30417105263157895</v>
      </c>
      <c r="I39" s="13">
        <f>+'Seguridad Humana'!V186</f>
        <v>0.98120000000000007</v>
      </c>
      <c r="J39" s="13">
        <f>+'Seguridad Humana'!Y186</f>
        <v>0.18213075657894739</v>
      </c>
      <c r="K39" s="13">
        <f>+'Seguridad Humana'!Z186</f>
        <v>0.58277039473684211</v>
      </c>
      <c r="L39" s="45">
        <f>+'Seguridad Humana'!AA186</f>
        <v>1.4271164473684213E-2</v>
      </c>
      <c r="M39" s="45">
        <f>+'Seguridad Humana'!AB186</f>
        <v>0.58047085526315789</v>
      </c>
      <c r="N39" s="37"/>
      <c r="O39" s="10"/>
      <c r="P39" s="102"/>
    </row>
    <row r="40" spans="2:16" ht="33" customHeight="1" x14ac:dyDescent="0.7">
      <c r="B40" s="44" t="s">
        <v>1623</v>
      </c>
      <c r="C40" s="1349"/>
      <c r="D40" s="13">
        <f>+'Seguridad Humana'!I192</f>
        <v>1.2500000000000001E-2</v>
      </c>
      <c r="E40" s="13">
        <f>+'Seguridad Humana'!J192</f>
        <v>0.31666666666666665</v>
      </c>
      <c r="F40" s="13">
        <f t="shared" si="2"/>
        <v>0.32916666666666666</v>
      </c>
      <c r="G40" s="13">
        <f>+'Seguridad Humana'!K192</f>
        <v>3.7499999999999999E-3</v>
      </c>
      <c r="H40" s="13">
        <f>+'Seguridad Humana'!L192</f>
        <v>0.32333333333333331</v>
      </c>
      <c r="I40" s="13">
        <f>+'Seguridad Humana'!V192</f>
        <v>0.24791666666666667</v>
      </c>
      <c r="J40" s="13">
        <f>+'Seguridad Humana'!Y192</f>
        <v>1.2500000000000001E-2</v>
      </c>
      <c r="K40" s="13">
        <f>+'Seguridad Humana'!Z192</f>
        <v>8.5058333333333333E-2</v>
      </c>
      <c r="L40" s="45">
        <f>+'Seguridad Humana'!AA192</f>
        <v>3.7500000000000001E-4</v>
      </c>
      <c r="M40" s="45">
        <f>+'Seguridad Humana'!AB192</f>
        <v>2.4434999999999998E-2</v>
      </c>
      <c r="N40" s="37"/>
      <c r="O40" s="10"/>
      <c r="P40" s="102"/>
    </row>
    <row r="41" spans="2:16" ht="53.4" customHeight="1" x14ac:dyDescent="0.7">
      <c r="B41" s="44" t="s">
        <v>1624</v>
      </c>
      <c r="C41" s="1349"/>
      <c r="D41" s="13">
        <f>+'Seguridad Humana'!I195</f>
        <v>0.19771672771672774</v>
      </c>
      <c r="E41" s="13">
        <f>+'Seguridad Humana'!J195</f>
        <v>0.28894993894993898</v>
      </c>
      <c r="F41" s="13">
        <f t="shared" si="2"/>
        <v>0.4896703296703297</v>
      </c>
      <c r="G41" s="13">
        <f>+'Seguridad Humana'!K195</f>
        <v>0.19857509157509157</v>
      </c>
      <c r="H41" s="13">
        <f>+'Seguridad Humana'!L195</f>
        <v>0.29342490842490843</v>
      </c>
      <c r="I41" s="13">
        <f>+'Seguridad Humana'!V195</f>
        <v>0.99259259259259258</v>
      </c>
      <c r="J41" s="13">
        <f>+'Seguridad Humana'!Y195</f>
        <v>0.20072039072039072</v>
      </c>
      <c r="K41" s="13">
        <f>+'Seguridad Humana'!Z195</f>
        <v>0.58818070818070811</v>
      </c>
      <c r="L41" s="45">
        <f>+'Seguridad Humana'!AA195</f>
        <v>1.9708058608058607E-2</v>
      </c>
      <c r="M41" s="45">
        <f>+'Seguridad Humana'!AB195</f>
        <v>0.64027106227106223</v>
      </c>
      <c r="N41" s="37"/>
      <c r="O41" s="10"/>
      <c r="P41" s="102"/>
    </row>
    <row r="42" spans="2:16" ht="48.6" customHeight="1" x14ac:dyDescent="0.7">
      <c r="B42" s="44" t="s">
        <v>1625</v>
      </c>
      <c r="C42" s="1349"/>
      <c r="D42" s="13">
        <f>+'Seguridad Humana'!I199</f>
        <v>0.14374999999999999</v>
      </c>
      <c r="E42" s="13">
        <f>+'Seguridad Humana'!J199</f>
        <v>0.36074640522875817</v>
      </c>
      <c r="F42" s="13">
        <f t="shared" si="2"/>
        <v>0.61816307189542485</v>
      </c>
      <c r="G42" s="13">
        <f>+'Seguridad Humana'!K199</f>
        <v>6.7500000000000004E-2</v>
      </c>
      <c r="H42" s="13">
        <f>+'Seguridad Humana'!L199</f>
        <v>0.36927960784313729</v>
      </c>
      <c r="I42" s="13">
        <f>+'Seguridad Humana'!V199</f>
        <v>0.70303030303030312</v>
      </c>
      <c r="J42" s="13">
        <f>+'Seguridad Humana'!Y199</f>
        <v>0.25741666666666668</v>
      </c>
      <c r="K42" s="13">
        <f>+'Seguridad Humana'!Z199</f>
        <v>0.4186372549019608</v>
      </c>
      <c r="L42" s="45">
        <f>+'Seguridad Humana'!AA199</f>
        <v>1.4611666666666665E-2</v>
      </c>
      <c r="M42" s="45">
        <f>+'Seguridad Humana'!AB199</f>
        <v>0.40015588235294119</v>
      </c>
      <c r="N42" s="37"/>
      <c r="O42" s="10"/>
      <c r="P42" s="102"/>
    </row>
    <row r="43" spans="2:16" ht="60.6" customHeight="1" x14ac:dyDescent="0.7">
      <c r="B43" s="44" t="s">
        <v>1637</v>
      </c>
      <c r="C43" s="1349"/>
      <c r="D43" s="13">
        <f>+'Seguridad Humana'!I203</f>
        <v>0.24264705882352941</v>
      </c>
      <c r="E43" s="13">
        <f>+'Seguridad Humana'!J203</f>
        <v>0.30147058823529416</v>
      </c>
      <c r="F43" s="13">
        <f t="shared" si="2"/>
        <v>0.54411764705882359</v>
      </c>
      <c r="G43" s="13">
        <f>+'Seguridad Humana'!K203</f>
        <v>0.24044117647058824</v>
      </c>
      <c r="H43" s="13">
        <f>+'Seguridad Humana'!L203</f>
        <v>0.31691176470588234</v>
      </c>
      <c r="I43" s="13">
        <f>+'Seguridad Humana'!V203</f>
        <v>1</v>
      </c>
      <c r="J43" s="13">
        <f>+'Seguridad Humana'!Y203</f>
        <v>0.24264705882352941</v>
      </c>
      <c r="K43" s="13">
        <f>+'Seguridad Humana'!Z203</f>
        <v>0.57352941176470584</v>
      </c>
      <c r="L43" s="45">
        <f>+'Seguridad Humana'!AA203</f>
        <v>2.4044117647058827E-2</v>
      </c>
      <c r="M43" s="45">
        <f>+'Seguridad Humana'!AB203</f>
        <v>0.59558823529411775</v>
      </c>
      <c r="N43" s="37"/>
      <c r="O43" s="10"/>
      <c r="P43" s="102"/>
    </row>
    <row r="44" spans="2:16" ht="47.4" customHeight="1" x14ac:dyDescent="0.7">
      <c r="B44" s="44" t="s">
        <v>1628</v>
      </c>
      <c r="C44" s="1349"/>
      <c r="D44" s="13">
        <f>+'Seguridad Humana'!I206</f>
        <v>0.20833333333333331</v>
      </c>
      <c r="E44" s="13">
        <f>+'Seguridad Humana'!J206</f>
        <v>0.2361111111111111</v>
      </c>
      <c r="F44" s="13">
        <f t="shared" si="2"/>
        <v>0.34305555555555556</v>
      </c>
      <c r="G44" s="13">
        <f>+'Seguridad Humana'!K206</f>
        <v>0.2</v>
      </c>
      <c r="H44" s="13">
        <f>+'Seguridad Humana'!L206</f>
        <v>0.23888888888888887</v>
      </c>
      <c r="I44" s="13">
        <f>+'Seguridad Humana'!V206</f>
        <v>1</v>
      </c>
      <c r="J44" s="13">
        <f>+'Seguridad Humana'!Y206</f>
        <v>0.10694444444444444</v>
      </c>
      <c r="K44" s="13">
        <f>+'Seguridad Humana'!Z206</f>
        <v>0.58472222222222225</v>
      </c>
      <c r="L44" s="45">
        <f>+'Seguridad Humana'!AA206</f>
        <v>5.8611111111111112E-3</v>
      </c>
      <c r="M44" s="45">
        <f>+'Seguridad Humana'!AB206</f>
        <v>0.55444444444444452</v>
      </c>
      <c r="N44" s="37"/>
      <c r="O44" s="10"/>
      <c r="P44" s="102"/>
    </row>
    <row r="45" spans="2:16" ht="81" customHeight="1" x14ac:dyDescent="0.7">
      <c r="B45" s="47" t="s">
        <v>1627</v>
      </c>
      <c r="C45" s="1350"/>
      <c r="D45" s="48">
        <f>+'Seguridad Humana'!I209</f>
        <v>0.14262820512820512</v>
      </c>
      <c r="E45" s="48">
        <f>+'Seguridad Humana'!J209</f>
        <v>0.22275641025641027</v>
      </c>
      <c r="F45" s="48">
        <f t="shared" si="2"/>
        <v>0.46314102564102566</v>
      </c>
      <c r="G45" s="48">
        <f>+'Seguridad Humana'!K209</f>
        <v>0.15576923076923077</v>
      </c>
      <c r="H45" s="48">
        <f>+'Seguridad Humana'!L209</f>
        <v>0</v>
      </c>
      <c r="I45" s="48">
        <f>+'Seguridad Humana'!V209</f>
        <v>0.9642857142857143</v>
      </c>
      <c r="J45" s="48">
        <f>+'Seguridad Humana'!Y209</f>
        <v>0.24038461538461539</v>
      </c>
      <c r="K45" s="48">
        <f>+'Seguridad Humana'!Z209</f>
        <v>0.76041666666666674</v>
      </c>
      <c r="L45" s="49">
        <f>+'Seguridad Humana'!AA209</f>
        <v>2.4230769230769233E-2</v>
      </c>
      <c r="M45" s="49">
        <f>+'Seguridad Humana'!AB209</f>
        <v>0.71250000000000002</v>
      </c>
      <c r="N45" s="37"/>
      <c r="O45" s="10"/>
      <c r="P45" s="102"/>
    </row>
    <row r="46" spans="2:16" ht="61.2" x14ac:dyDescent="0.7">
      <c r="B46" s="50" t="str">
        <f>+'Vida Digna'!B3:C3</f>
        <v xml:space="preserve"> VIDA DIGNA
</v>
      </c>
      <c r="C46" s="1351">
        <v>0.2</v>
      </c>
      <c r="D46" s="774">
        <f>+'Vida Digna'!I3</f>
        <v>0.25323854832043019</v>
      </c>
      <c r="E46" s="774">
        <f>+'Vida Digna'!J3</f>
        <v>0.29872026705958277</v>
      </c>
      <c r="F46" s="774">
        <f t="shared" si="2"/>
        <v>0.51473719808474006</v>
      </c>
      <c r="G46" s="774">
        <f>+'Vida Digna'!K3</f>
        <v>0.20215522261646302</v>
      </c>
      <c r="H46" s="774">
        <f>+'Vida Digna'!L3</f>
        <v>0.25366832876982387</v>
      </c>
      <c r="I46" s="774">
        <f>+'Vida Digna'!V3</f>
        <v>0.71761002085769865</v>
      </c>
      <c r="J46" s="774">
        <f>+'Vida Digna'!Y3</f>
        <v>0.21601693102515732</v>
      </c>
      <c r="K46" s="774">
        <f>+'Vida Digna'!Z3</f>
        <v>0.5127485650474547</v>
      </c>
      <c r="L46" s="775">
        <f>+'Vida Digna'!AA3</f>
        <v>0.17720527157842844</v>
      </c>
      <c r="M46" s="775">
        <f>+'Vida Digna'!AB3</f>
        <v>0.48090129462939524</v>
      </c>
      <c r="N46" s="37"/>
      <c r="O46" s="10"/>
      <c r="P46" s="102"/>
    </row>
    <row r="47" spans="2:16" ht="84.6" customHeight="1" x14ac:dyDescent="0.7">
      <c r="B47" s="42" t="str">
        <f>+'Vida Digna'!B4:C4</f>
        <v xml:space="preserve"> Educación
</v>
      </c>
      <c r="C47" s="1352"/>
      <c r="D47" s="33">
        <f>+(D48+D49+D50+D51+D52+D53+D54+D55+D56+D57+D58+D59+D60+D61+D62+D63)/15</f>
        <v>0.26981900399515463</v>
      </c>
      <c r="E47" s="33">
        <f>+(E48+E49+E50+E51+E52+E53+E54+E55+E56+E57+E58+E59+E60+E61+E62+E63)/16</f>
        <v>0.26016382169667063</v>
      </c>
      <c r="F47" s="33">
        <f t="shared" si="2"/>
        <v>0.47305009896863803</v>
      </c>
      <c r="G47" s="34">
        <f>+(G48+G49+G50+G51+G52+G53+G54+G55+G56+G57+G58+G59+G60+G61+G62+G63)/15</f>
        <v>0.25378937395993473</v>
      </c>
      <c r="H47" s="34">
        <f t="shared" ref="H47" si="11">+(H48+H49+H50+H51+H52+H53+H54+H55+H56+H57+H58+H59+H60+H61+H62+H63)/15</f>
        <v>0.26852140806065733</v>
      </c>
      <c r="I47" s="34">
        <f>+(I48+I49+I50+I51+I52+I53+I54+I55+I56+I57+I58+I59+I60+I61+I62+I63)/16</f>
        <v>0.85005352404281742</v>
      </c>
      <c r="J47" s="33">
        <f>+(J48+J49+J50+J51+J52+J53+J54+J55+J56+J57+J58+J59+J60+J61+J62+J63)/15</f>
        <v>0.21288627727196741</v>
      </c>
      <c r="K47" s="33">
        <f>+(K48+K49+K50+K51+K52+K53+K54+K55+K56+K57+K58+K59+K60+K61+K62+K63)/16</f>
        <v>0.50550379134463475</v>
      </c>
      <c r="L47" s="43">
        <f>+(L48+L49+L50+L51+L52+L53+L54+L55+L56+L57+L58+L59+L60+L61+L62+L63)</f>
        <v>0.19455564139729131</v>
      </c>
      <c r="M47" s="43">
        <f>+'Vida Digna'!AB4</f>
        <v>0.44645446238331843</v>
      </c>
      <c r="N47" s="37"/>
      <c r="O47" s="10"/>
      <c r="P47" s="102"/>
    </row>
    <row r="48" spans="2:16" ht="32.4" customHeight="1" x14ac:dyDescent="0.7">
      <c r="B48" s="44" t="s">
        <v>1683</v>
      </c>
      <c r="C48" s="1352"/>
      <c r="D48" s="13">
        <f>+'Vida Digna'!I5</f>
        <v>0.13533333333333333</v>
      </c>
      <c r="E48" s="13">
        <f>+'Vida Digna'!J5</f>
        <v>0.26333333333333325</v>
      </c>
      <c r="F48" s="13">
        <f t="shared" si="2"/>
        <v>0.3627999999999999</v>
      </c>
      <c r="G48" s="13">
        <f>+'Vida Digna'!K5</f>
        <v>0.12433333333333335</v>
      </c>
      <c r="H48" s="13">
        <f>+'Vida Digna'!L5</f>
        <v>0.25883333333333336</v>
      </c>
      <c r="I48" s="13">
        <f>+'Vida Digna'!V5</f>
        <v>0.69885620915032687</v>
      </c>
      <c r="J48" s="13">
        <f>+'Vida Digna'!Y5</f>
        <v>9.9466666666666662E-2</v>
      </c>
      <c r="K48" s="13">
        <f>+'Vida Digna'!Z5</f>
        <v>0.29002777777777777</v>
      </c>
      <c r="L48" s="45">
        <f>+'Vida Digna'!AA5</f>
        <v>2.3891666666666669E-2</v>
      </c>
      <c r="M48" s="45">
        <f>+'Vida Digna'!AB5</f>
        <v>0.34426666666666667</v>
      </c>
      <c r="N48" s="37"/>
      <c r="O48" s="10"/>
      <c r="P48" s="102"/>
    </row>
    <row r="49" spans="2:16" ht="50.4" customHeight="1" x14ac:dyDescent="0.7">
      <c r="B49" s="44" t="s">
        <v>1641</v>
      </c>
      <c r="C49" s="1352"/>
      <c r="D49" s="13">
        <f>+'Vida Digna'!I12</f>
        <v>0.33035714285714285</v>
      </c>
      <c r="E49" s="13">
        <f>+'Vida Digna'!J12</f>
        <v>0.43154761904761907</v>
      </c>
      <c r="F49" s="13">
        <f t="shared" si="2"/>
        <v>0.66666666666666674</v>
      </c>
      <c r="G49" s="13">
        <f>+'Vida Digna'!K12</f>
        <v>0.33928571428571425</v>
      </c>
      <c r="H49" s="13">
        <f>+'Vida Digna'!L12</f>
        <v>0.47023809523809523</v>
      </c>
      <c r="I49" s="13">
        <f>+'Vida Digna'!V12</f>
        <v>1</v>
      </c>
      <c r="J49" s="13">
        <f>+'Vida Digna'!Y12</f>
        <v>0.23511904761904762</v>
      </c>
      <c r="K49" s="13">
        <f>+'Vida Digna'!Z12</f>
        <v>0.57440476190476186</v>
      </c>
      <c r="L49" s="45">
        <f>+'Vida Digna'!AA12</f>
        <v>5.261904761904761E-3</v>
      </c>
      <c r="M49" s="45">
        <f>+'Vida Digna'!AB12</f>
        <v>0.58452380952380956</v>
      </c>
      <c r="N49" s="37"/>
      <c r="O49" s="10"/>
      <c r="P49" s="102"/>
    </row>
    <row r="50" spans="2:16" ht="39.6" customHeight="1" x14ac:dyDescent="0.7">
      <c r="B50" s="44" t="s">
        <v>1684</v>
      </c>
      <c r="C50" s="1352"/>
      <c r="D50" s="13">
        <f>+'Vida Digna'!I15</f>
        <v>0.24305555555555555</v>
      </c>
      <c r="E50" s="13">
        <f>+'Vida Digna'!J15</f>
        <v>0.26562064156206416</v>
      </c>
      <c r="F50" s="13">
        <f t="shared" si="2"/>
        <v>0.51059598300484288</v>
      </c>
      <c r="G50" s="13">
        <f>+'Vida Digna'!K15</f>
        <v>0.22361111111111112</v>
      </c>
      <c r="H50" s="13">
        <f>+'Vida Digna'!L15</f>
        <v>0.2536436541143654</v>
      </c>
      <c r="I50" s="13">
        <f>+'Vida Digna'!V15</f>
        <v>0.74378181818181821</v>
      </c>
      <c r="J50" s="13">
        <f>+'Vida Digna'!Y15</f>
        <v>0.24497534144277869</v>
      </c>
      <c r="K50" s="13">
        <f>+'Vida Digna'!Z15</f>
        <v>0.39804672808783126</v>
      </c>
      <c r="L50" s="45">
        <f>+'Vida Digna'!AA15</f>
        <v>2.2443072307612263E-2</v>
      </c>
      <c r="M50" s="45">
        <f>+'Vida Digna'!AB15</f>
        <v>0.43835776173121815</v>
      </c>
      <c r="N50" s="37"/>
      <c r="O50" s="10"/>
      <c r="P50" s="102"/>
    </row>
    <row r="51" spans="2:16" ht="36.6" x14ac:dyDescent="0.7">
      <c r="B51" s="44" t="s">
        <v>1643</v>
      </c>
      <c r="C51" s="1352"/>
      <c r="D51" s="13">
        <f>+'Vida Digna'!I21</f>
        <v>0.28974632671496775</v>
      </c>
      <c r="E51" s="13">
        <f>+'Vida Digna'!J21</f>
        <v>0.22570672713529855</v>
      </c>
      <c r="F51" s="13">
        <f t="shared" si="2"/>
        <v>0.6101491436683073</v>
      </c>
      <c r="G51" s="13">
        <f>+'Vida Digna'!K21</f>
        <v>0.28333533359143115</v>
      </c>
      <c r="H51" s="13">
        <f>+'Vida Digna'!L21</f>
        <v>0.22066402116402117</v>
      </c>
      <c r="I51" s="13">
        <f>+'Vida Digna'!V21</f>
        <v>0.75412917795844614</v>
      </c>
      <c r="J51" s="13">
        <f>+'Vida Digna'!Y21</f>
        <v>0.38444241653300881</v>
      </c>
      <c r="K51" s="13">
        <f>+'Vida Digna'!Z21</f>
        <v>0.54770158822336523</v>
      </c>
      <c r="L51" s="45">
        <f>+'Vida Digna'!AA21</f>
        <v>3.9090985933668859E-2</v>
      </c>
      <c r="M51" s="45">
        <f>+'Vida Digna'!AB21</f>
        <v>0.56458837430636211</v>
      </c>
      <c r="N51" s="37"/>
      <c r="O51" s="10"/>
      <c r="P51" s="102"/>
    </row>
    <row r="52" spans="2:16" ht="21.6" customHeight="1" x14ac:dyDescent="0.7">
      <c r="B52" s="44" t="s">
        <v>1644</v>
      </c>
      <c r="C52" s="1352"/>
      <c r="D52" s="13">
        <f>+'Vida Digna'!I29</f>
        <v>0.15707666719467767</v>
      </c>
      <c r="E52" s="13">
        <f>+'Vida Digna'!J29</f>
        <v>0.26624623792174879</v>
      </c>
      <c r="F52" s="13">
        <f t="shared" si="2"/>
        <v>0.5515008712181213</v>
      </c>
      <c r="G52" s="13">
        <f>+'Vida Digna'!K29</f>
        <v>0.14557658799303025</v>
      </c>
      <c r="H52" s="13">
        <f>+'Vida Digna'!L29</f>
        <v>0.263632583557738</v>
      </c>
      <c r="I52" s="13">
        <f>+'Vida Digna'!V29</f>
        <v>1</v>
      </c>
      <c r="J52" s="13">
        <f>+'Vida Digna'!Y29</f>
        <v>0.28525463329637252</v>
      </c>
      <c r="K52" s="13">
        <f>+'Vida Digna'!Z29</f>
        <v>0.78257167749089174</v>
      </c>
      <c r="L52" s="45">
        <f>+'Vida Digna'!AA29</f>
        <v>1.4958914145414224E-2</v>
      </c>
      <c r="M52" s="45">
        <f>+'Vida Digna'!AB29</f>
        <v>0.80359971487406945</v>
      </c>
      <c r="N52" s="37"/>
      <c r="O52" s="10"/>
      <c r="P52" s="102"/>
    </row>
    <row r="53" spans="2:16" ht="37.200000000000003" customHeight="1" x14ac:dyDescent="0.7">
      <c r="B53" s="44" t="s">
        <v>1645</v>
      </c>
      <c r="C53" s="1352"/>
      <c r="D53" s="13">
        <f>+'Vida Digna'!I34</f>
        <v>0.44396853146853149</v>
      </c>
      <c r="E53" s="13">
        <f>+'Vida Digna'!J34</f>
        <v>0.2717074592074592</v>
      </c>
      <c r="F53" s="13">
        <f t="shared" si="2"/>
        <v>0.41523310023310023</v>
      </c>
      <c r="G53" s="13">
        <f>+'Vida Digna'!K34</f>
        <v>0.55517482517482519</v>
      </c>
      <c r="H53" s="13">
        <f>+'Vida Digna'!L34</f>
        <v>0.28403263403263401</v>
      </c>
      <c r="I53" s="13">
        <f>+'Vida Digna'!V34</f>
        <v>0.96666666666666667</v>
      </c>
      <c r="J53" s="13">
        <f>+'Vida Digna'!Y34</f>
        <v>0.14352564102564103</v>
      </c>
      <c r="K53" s="13">
        <f>+'Vida Digna'!Z34</f>
        <v>0.64242424242424245</v>
      </c>
      <c r="L53" s="45">
        <f>+'Vida Digna'!AA34</f>
        <v>3.6297435897435898E-3</v>
      </c>
      <c r="M53" s="45">
        <f>+'Vida Digna'!AB34</f>
        <v>0.71393939393939398</v>
      </c>
      <c r="N53" s="37"/>
      <c r="O53" s="10"/>
      <c r="P53" s="102"/>
    </row>
    <row r="54" spans="2:16" ht="36.6" x14ac:dyDescent="0.7">
      <c r="B54" s="44" t="s">
        <v>1685</v>
      </c>
      <c r="C54" s="1352"/>
      <c r="D54" s="13">
        <f>+'Vida Digna'!I39</f>
        <v>0.40860215053763443</v>
      </c>
      <c r="E54" s="13">
        <f>+'Vida Digna'!J39</f>
        <v>0.19892473118279572</v>
      </c>
      <c r="F54" s="13">
        <f t="shared" si="2"/>
        <v>0.442349045274959</v>
      </c>
      <c r="G54" s="13">
        <f>+'Vida Digna'!K39</f>
        <v>0.34516129032258069</v>
      </c>
      <c r="H54" s="13">
        <f>+'Vida Digna'!L39</f>
        <v>0.21935483870967742</v>
      </c>
      <c r="I54" s="13">
        <f>+'Vida Digna'!V39</f>
        <v>0.84513213981244684</v>
      </c>
      <c r="J54" s="13">
        <f>+'Vida Digna'!Y39</f>
        <v>0.24342431409216325</v>
      </c>
      <c r="K54" s="13">
        <f>+'Vida Digna'!Z39</f>
        <v>0.7199403239556692</v>
      </c>
      <c r="L54" s="45">
        <f>+'Vida Digna'!AA39</f>
        <v>9.3589740945466543E-3</v>
      </c>
      <c r="M54" s="45">
        <f>+'Vida Digna'!AB39</f>
        <v>0.57991048593350381</v>
      </c>
      <c r="N54" s="37"/>
      <c r="O54" s="10"/>
      <c r="P54" s="102"/>
    </row>
    <row r="55" spans="2:16" ht="34.200000000000003" customHeight="1" x14ac:dyDescent="0.7">
      <c r="B55" s="44" t="s">
        <v>1647</v>
      </c>
      <c r="C55" s="1352"/>
      <c r="D55" s="13">
        <f>+'Vida Digna'!I43</f>
        <v>0.40173750334135255</v>
      </c>
      <c r="E55" s="13">
        <f>+'Vida Digna'!J43</f>
        <v>0.22403635391606525</v>
      </c>
      <c r="F55" s="13">
        <f t="shared" si="2"/>
        <v>0.39633520449077786</v>
      </c>
      <c r="G55" s="13">
        <f>+'Vida Digna'!K43</f>
        <v>0.32804397219994652</v>
      </c>
      <c r="H55" s="13">
        <f>+'Vida Digna'!L43</f>
        <v>0.24091753541833738</v>
      </c>
      <c r="I55" s="13">
        <f>+'Vida Digna'!V43</f>
        <v>0.67272727272727273</v>
      </c>
      <c r="J55" s="13">
        <f>+'Vida Digna'!Y43</f>
        <v>0.17229885057471264</v>
      </c>
      <c r="K55" s="13">
        <f>+'Vida Digna'!Z43</f>
        <v>0.51906442127773322</v>
      </c>
      <c r="L55" s="45">
        <f>+'Vida Digna'!AA43</f>
        <v>2.7574712643678163E-3</v>
      </c>
      <c r="M55" s="45">
        <f>+'Vida Digna'!AB43</f>
        <v>0.44778401496925957</v>
      </c>
      <c r="N55" s="37"/>
      <c r="O55" s="10"/>
      <c r="P55" s="102"/>
    </row>
    <row r="56" spans="2:16" ht="25.95" customHeight="1" x14ac:dyDescent="0.7">
      <c r="B56" s="44" t="s">
        <v>1648</v>
      </c>
      <c r="C56" s="1352"/>
      <c r="D56" s="13">
        <f>+'Vida Digna'!I49</f>
        <v>0</v>
      </c>
      <c r="E56" s="13">
        <f>+'Vida Digna'!J49</f>
        <v>6.6666666666666666E-2</v>
      </c>
      <c r="F56" s="13">
        <f t="shared" si="2"/>
        <v>6.6666666666666666E-2</v>
      </c>
      <c r="G56" s="13">
        <f>+'Vida Digna'!K49</f>
        <v>0</v>
      </c>
      <c r="H56" s="13">
        <f>+'Vida Digna'!L49</f>
        <v>6.6666666666666666E-2</v>
      </c>
      <c r="I56" s="13">
        <f>+'Vida Digna'!V49</f>
        <v>1</v>
      </c>
      <c r="J56" s="13">
        <f>+'Vida Digna'!Y49</f>
        <v>0</v>
      </c>
      <c r="K56" s="13">
        <f>+'Vida Digna'!Z49</f>
        <v>0.33333333333333331</v>
      </c>
      <c r="L56" s="45">
        <f>+'Vida Digna'!AA49</f>
        <v>0</v>
      </c>
      <c r="M56" s="45">
        <f>+'Vida Digna'!AB49</f>
        <v>0.33333333333333331</v>
      </c>
      <c r="N56" s="37"/>
      <c r="O56" s="10"/>
      <c r="P56" s="102"/>
    </row>
    <row r="57" spans="2:16" ht="55.95" customHeight="1" x14ac:dyDescent="0.7">
      <c r="B57" s="44" t="s">
        <v>1649</v>
      </c>
      <c r="C57" s="1352"/>
      <c r="D57" s="13">
        <f>+'Vida Digna'!I52</f>
        <v>0.20288161993769471</v>
      </c>
      <c r="E57" s="13">
        <f>+'Vida Digna'!J52</f>
        <v>0.21845794392523366</v>
      </c>
      <c r="F57" s="13">
        <f t="shared" si="2"/>
        <v>0.60311526479750777</v>
      </c>
      <c r="G57" s="13">
        <f>+'Vida Digna'!K52</f>
        <v>0.18177570093457943</v>
      </c>
      <c r="H57" s="13">
        <f>+'Vida Digna'!L52</f>
        <v>0.19813084112149532</v>
      </c>
      <c r="I57" s="13">
        <f>+'Vida Digna'!V52</f>
        <v>0.98888888888888893</v>
      </c>
      <c r="J57" s="13">
        <f>+'Vida Digna'!Y52</f>
        <v>0.38465732087227411</v>
      </c>
      <c r="K57" s="13">
        <f>+'Vida Digna'!Z52</f>
        <v>0.77749999999999997</v>
      </c>
      <c r="L57" s="45">
        <f>+'Vida Digna'!AA52</f>
        <v>7.6028037383177559E-3</v>
      </c>
      <c r="M57" s="45">
        <f>+'Vida Digna'!AB52</f>
        <v>0.84124999999999994</v>
      </c>
      <c r="N57" s="37"/>
      <c r="O57" s="10"/>
      <c r="P57" s="102"/>
    </row>
    <row r="58" spans="2:16" ht="52.95" customHeight="1" x14ac:dyDescent="0.7">
      <c r="B58" s="44" t="s">
        <v>1650</v>
      </c>
      <c r="C58" s="1352"/>
      <c r="D58" s="13">
        <f>+'Vida Digna'!I56</f>
        <v>0.19781931464174454</v>
      </c>
      <c r="E58" s="13">
        <f>+'Vida Digna'!J56</f>
        <v>0.12694704049844238</v>
      </c>
      <c r="F58" s="13">
        <f t="shared" si="2"/>
        <v>0.24143302180685361</v>
      </c>
      <c r="G58" s="13">
        <f>+'Vida Digna'!K56</f>
        <v>0.17172897196261683</v>
      </c>
      <c r="H58" s="13">
        <f>+'Vida Digna'!L56</f>
        <v>0.16542056074766354</v>
      </c>
      <c r="I58" s="13">
        <f>+'Vida Digna'!V56</f>
        <v>1</v>
      </c>
      <c r="J58" s="13">
        <f>+'Vida Digna'!Y56</f>
        <v>0.11448598130841121</v>
      </c>
      <c r="K58" s="13">
        <f>+'Vida Digna'!Z56</f>
        <v>0.37258566978193147</v>
      </c>
      <c r="L58" s="45">
        <f>+'Vida Digna'!AA56</f>
        <v>2.9345794392523369E-3</v>
      </c>
      <c r="M58" s="45">
        <f>+'Vida Digna'!AB56</f>
        <v>0.47887850467289728</v>
      </c>
      <c r="N58" s="37"/>
      <c r="O58" s="10"/>
      <c r="P58" s="102"/>
    </row>
    <row r="59" spans="2:16" ht="46.95" customHeight="1" x14ac:dyDescent="0.7">
      <c r="B59" s="44" t="s">
        <v>1686</v>
      </c>
      <c r="C59" s="1352"/>
      <c r="D59" s="13">
        <f>+'Vida Digna'!I60</f>
        <v>0.21443137254901962</v>
      </c>
      <c r="E59" s="13">
        <f>+'Vida Digna'!J60</f>
        <v>0.2941830065359477</v>
      </c>
      <c r="F59" s="13">
        <f t="shared" si="2"/>
        <v>0.48618660130718949</v>
      </c>
      <c r="G59" s="13">
        <f>+'Vida Digna'!K60</f>
        <v>0.15490686274509805</v>
      </c>
      <c r="H59" s="13">
        <f>+'Vida Digna'!L60</f>
        <v>0.28919771241830067</v>
      </c>
      <c r="I59" s="13">
        <f>+'Vida Digna'!V60</f>
        <v>0.51142619542619538</v>
      </c>
      <c r="J59" s="13">
        <f>+'Vida Digna'!Y60</f>
        <v>0.19200359477124182</v>
      </c>
      <c r="K59" s="13">
        <f>+'Vida Digna'!Z60</f>
        <v>0.31358053221288518</v>
      </c>
      <c r="L59" s="45">
        <f>+'Vida Digna'!AA60</f>
        <v>1.4392630718954247E-2</v>
      </c>
      <c r="M59" s="45">
        <f>+'Vida Digna'!AB60</f>
        <v>0.30288872549019608</v>
      </c>
      <c r="N59" s="37"/>
      <c r="O59" s="10"/>
      <c r="P59" s="102"/>
    </row>
    <row r="60" spans="2:16" ht="55.2" customHeight="1" x14ac:dyDescent="0.7">
      <c r="B60" s="44" t="s">
        <v>1687</v>
      </c>
      <c r="C60" s="1352"/>
      <c r="D60" s="13">
        <f>+'Vida Digna'!I68</f>
        <v>0.20065789473684209</v>
      </c>
      <c r="E60" s="13">
        <f>+'Vida Digna'!J68</f>
        <v>0.29276315789473684</v>
      </c>
      <c r="F60" s="13">
        <f t="shared" si="2"/>
        <v>0.42973684210526314</v>
      </c>
      <c r="G60" s="13">
        <f>+'Vida Digna'!K68</f>
        <v>0.24013157894736842</v>
      </c>
      <c r="H60" s="13">
        <f>+'Vida Digna'!L68</f>
        <v>0.25855263157894737</v>
      </c>
      <c r="I60" s="13">
        <f>+'Vida Digna'!V68</f>
        <v>0.79437499999999994</v>
      </c>
      <c r="J60" s="13">
        <f>+'Vida Digna'!Y68</f>
        <v>0.1369736842105263</v>
      </c>
      <c r="K60" s="13">
        <f>+'Vida Digna'!Z68</f>
        <v>0.43584210526315786</v>
      </c>
      <c r="L60" s="45">
        <f>+'Vida Digna'!AA68</f>
        <v>3.7978947368421051E-3</v>
      </c>
      <c r="M60" s="45">
        <f>+'Vida Digna'!AB68</f>
        <v>0.46981842105263161</v>
      </c>
      <c r="N60" s="37"/>
      <c r="O60" s="10"/>
      <c r="P60" s="102"/>
    </row>
    <row r="61" spans="2:16" ht="28.95" customHeight="1" x14ac:dyDescent="0.7">
      <c r="B61" s="44" t="s">
        <v>1688</v>
      </c>
      <c r="C61" s="1352"/>
      <c r="D61" s="13">
        <f>+'Vida Digna'!I73</f>
        <v>0.26633986928104575</v>
      </c>
      <c r="E61" s="13">
        <f>+'Vida Digna'!J73</f>
        <v>0.51470588235294124</v>
      </c>
      <c r="F61" s="13">
        <f t="shared" si="2"/>
        <v>0.62359477124183016</v>
      </c>
      <c r="G61" s="13">
        <f>+'Vida Digna'!K73</f>
        <v>0.26470588235294118</v>
      </c>
      <c r="H61" s="13">
        <f>+'Vida Digna'!L73</f>
        <v>0.4882352941176471</v>
      </c>
      <c r="I61" s="13">
        <f>+'Vida Digna'!V73</f>
        <v>0.89111111111111108</v>
      </c>
      <c r="J61" s="13">
        <f>+'Vida Digna'!Y73</f>
        <v>0.10888888888888888</v>
      </c>
      <c r="K61" s="13">
        <f>+'Vida Digna'!Z73</f>
        <v>0.51470588235294124</v>
      </c>
      <c r="L61" s="45">
        <f>+'Vida Digna'!AA73</f>
        <v>1.9599999999999999E-3</v>
      </c>
      <c r="M61" s="45">
        <f>+'Vida Digna'!AB73</f>
        <v>0.4882352941176471</v>
      </c>
      <c r="N61" s="37"/>
      <c r="O61" s="10"/>
      <c r="P61" s="102"/>
    </row>
    <row r="62" spans="2:16" ht="37.200000000000003" customHeight="1" x14ac:dyDescent="0.7">
      <c r="B62" s="44" t="s">
        <v>1689</v>
      </c>
      <c r="C62" s="1352"/>
      <c r="D62" s="13">
        <f>+'Vida Digna'!I77</f>
        <v>0.19</v>
      </c>
      <c r="E62" s="13">
        <f>+'Vida Digna'!J77</f>
        <v>0.25316323485526709</v>
      </c>
      <c r="F62" s="13">
        <f t="shared" si="2"/>
        <v>0.25316323485526709</v>
      </c>
      <c r="G62" s="13">
        <f>+'Vida Digna'!K77</f>
        <v>3.9E-2</v>
      </c>
      <c r="H62" s="13">
        <f>+'Vida Digna'!L77</f>
        <v>0.10689794091316027</v>
      </c>
      <c r="I62" s="13">
        <f>+'Vida Digna'!V77</f>
        <v>0.90476190476190477</v>
      </c>
      <c r="J62" s="13">
        <f>+'Vida Digna'!Y77</f>
        <v>0</v>
      </c>
      <c r="K62" s="13">
        <f>+'Vida Digna'!Z77</f>
        <v>0.10991495076096687</v>
      </c>
      <c r="L62" s="45">
        <f>+'Vida Digna'!AA77</f>
        <v>0</v>
      </c>
      <c r="M62" s="45">
        <f>+'Vida Digna'!AB77</f>
        <v>9.6897940913160258E-2</v>
      </c>
      <c r="N62" s="37"/>
      <c r="O62" s="10"/>
      <c r="P62" s="102"/>
    </row>
    <row r="63" spans="2:16" ht="50.4" customHeight="1" x14ac:dyDescent="0.7">
      <c r="B63" s="44" t="s">
        <v>1690</v>
      </c>
      <c r="C63" s="1352"/>
      <c r="D63" s="13">
        <f>+'Vida Digna'!I85</f>
        <v>0.36527777777777776</v>
      </c>
      <c r="E63" s="13">
        <f>+'Vida Digna'!J85</f>
        <v>0.24861111111111106</v>
      </c>
      <c r="F63" s="13">
        <f t="shared" si="2"/>
        <v>0.69638888888888884</v>
      </c>
      <c r="G63" s="13">
        <f>+'Vida Digna'!K85</f>
        <v>0.41006944444444449</v>
      </c>
      <c r="H63" s="13">
        <f>+'Vida Digna'!L85</f>
        <v>0.24340277777777775</v>
      </c>
      <c r="I63" s="13">
        <f>+'Vida Digna'!V85</f>
        <v>0.82899999999999996</v>
      </c>
      <c r="J63" s="13">
        <f>+'Vida Digna'!Y85</f>
        <v>0.44777777777777777</v>
      </c>
      <c r="K63" s="13">
        <f>+'Vida Digna'!Z85</f>
        <v>0.75641666666666663</v>
      </c>
      <c r="L63" s="45">
        <f>+'Vida Digna'!AA85</f>
        <v>4.2475000000000006E-2</v>
      </c>
      <c r="M63" s="45">
        <f>+'Vida Digna'!AB85</f>
        <v>0.70870833333333327</v>
      </c>
      <c r="N63" s="37"/>
      <c r="O63" s="10"/>
      <c r="P63" s="102"/>
    </row>
    <row r="64" spans="2:16" ht="73.2" customHeight="1" x14ac:dyDescent="0.7">
      <c r="B64" s="42" t="str">
        <f>+'Vida Digna'!B91:C91</f>
        <v xml:space="preserve"> Acceso a Servicios Básicos
</v>
      </c>
      <c r="C64" s="1352"/>
      <c r="D64" s="33">
        <f t="shared" ref="D64:G64" si="12">+(D65+D66+D67)/3</f>
        <v>0.36897145335135689</v>
      </c>
      <c r="E64" s="33">
        <f t="shared" si="12"/>
        <v>0.37316486001714971</v>
      </c>
      <c r="F64" s="33">
        <f t="shared" si="2"/>
        <v>0.4942397664731964</v>
      </c>
      <c r="G64" s="34">
        <f t="shared" si="12"/>
        <v>0.13546025296319508</v>
      </c>
      <c r="H64" s="34">
        <f t="shared" ref="H64:I64" si="13">+(H65+H66+H67)/3</f>
        <v>0.19876656861431621</v>
      </c>
      <c r="I64" s="34">
        <f t="shared" si="13"/>
        <v>0.66509994615498125</v>
      </c>
      <c r="J64" s="33">
        <f>+(J65+J66+J67)/3</f>
        <v>0.12107490645604667</v>
      </c>
      <c r="K64" s="33">
        <f>+(K65+K66+K67)/3</f>
        <v>0.36954161861032914</v>
      </c>
      <c r="L64" s="43">
        <f>+(L65+L66+L67)</f>
        <v>0.1147193821346188</v>
      </c>
      <c r="M64" s="43">
        <f>+'Vida Digna'!AB91</f>
        <v>0.34878279505494242</v>
      </c>
      <c r="N64" s="37"/>
      <c r="O64" s="10"/>
      <c r="P64" s="102"/>
    </row>
    <row r="65" spans="2:16" ht="33.6" customHeight="1" x14ac:dyDescent="0.7">
      <c r="B65" s="44" t="s">
        <v>1691</v>
      </c>
      <c r="C65" s="1352"/>
      <c r="D65" s="13">
        <f>+'Vida Digna'!I92</f>
        <v>0.36703340767311832</v>
      </c>
      <c r="E65" s="13">
        <f>+'Vida Digna'!J92</f>
        <v>0.21758981814668724</v>
      </c>
      <c r="F65" s="13">
        <f t="shared" si="2"/>
        <v>0.37590977561006533</v>
      </c>
      <c r="G65" s="13">
        <f>+'Vida Digna'!K92</f>
        <v>0.19522004460387099</v>
      </c>
      <c r="H65" s="13">
        <f>+'Vida Digna'!L92</f>
        <v>0.17639494393818686</v>
      </c>
      <c r="I65" s="13">
        <f>+'Vida Digna'!V92</f>
        <v>0.75411296977807518</v>
      </c>
      <c r="J65" s="13">
        <f>+'Vida Digna'!Y92</f>
        <v>0.1583199574633781</v>
      </c>
      <c r="K65" s="13">
        <f>+'Vida Digna'!Z92</f>
        <v>0.49420600662463821</v>
      </c>
      <c r="L65" s="45">
        <f>+'Vida Digna'!AA92</f>
        <v>5.7744382134618799E-2</v>
      </c>
      <c r="M65" s="45">
        <f>+'Vida Digna'!AB92</f>
        <v>0.42700370015697831</v>
      </c>
      <c r="N65" s="37"/>
      <c r="O65" s="10"/>
      <c r="P65" s="102"/>
    </row>
    <row r="66" spans="2:16" ht="51" customHeight="1" x14ac:dyDescent="0.7">
      <c r="B66" s="44" t="s">
        <v>1692</v>
      </c>
      <c r="C66" s="1352"/>
      <c r="D66" s="13">
        <f>+'Vida Digna'!I101</f>
        <v>0.11488095238095238</v>
      </c>
      <c r="E66" s="13">
        <f>+'Vida Digna'!J101</f>
        <v>0.27142857142857141</v>
      </c>
      <c r="F66" s="13">
        <f t="shared" si="2"/>
        <v>0.35133333333333333</v>
      </c>
      <c r="G66" s="13">
        <f>+'Vida Digna'!K101</f>
        <v>8.6160714285714285E-2</v>
      </c>
      <c r="H66" s="13">
        <f>+'Vida Digna'!L101</f>
        <v>0.20357142857142857</v>
      </c>
      <c r="I66" s="13">
        <f>+'Vida Digna'!V101</f>
        <v>0.66666666666666663</v>
      </c>
      <c r="J66" s="13">
        <f>+'Vida Digna'!Y101</f>
        <v>7.9904761904761909E-2</v>
      </c>
      <c r="K66" s="13">
        <f>+'Vida Digna'!Z101</f>
        <v>0.28676190476190477</v>
      </c>
      <c r="L66" s="45">
        <f>+'Vida Digna'!AA101</f>
        <v>2.0974999999999997E-2</v>
      </c>
      <c r="M66" s="45">
        <f>+'Vida Digna'!AB101</f>
        <v>0.26678571428571429</v>
      </c>
      <c r="N66" s="37"/>
      <c r="O66" s="10"/>
      <c r="P66" s="102"/>
    </row>
    <row r="67" spans="2:16" ht="33" customHeight="1" x14ac:dyDescent="0.7">
      <c r="B67" s="44" t="s">
        <v>1693</v>
      </c>
      <c r="C67" s="1352"/>
      <c r="D67" s="13">
        <f>+'Vida Digna'!I106</f>
        <v>0.625</v>
      </c>
      <c r="E67" s="13">
        <f>+'Vida Digna'!J106</f>
        <v>0.63047619047619041</v>
      </c>
      <c r="F67" s="13">
        <f t="shared" si="2"/>
        <v>0.75547619047619041</v>
      </c>
      <c r="G67" s="13">
        <f>+'Vida Digna'!K106</f>
        <v>0.125</v>
      </c>
      <c r="H67" s="13">
        <f>+'Vida Digna'!L106</f>
        <v>0.21633333333333332</v>
      </c>
      <c r="I67" s="13">
        <f>+'Vida Digna'!V106</f>
        <v>0.57452020202020193</v>
      </c>
      <c r="J67" s="13">
        <f>+'Vida Digna'!Y106</f>
        <v>0.125</v>
      </c>
      <c r="K67" s="13">
        <f>+'Vida Digna'!Z106</f>
        <v>0.32765694444444443</v>
      </c>
      <c r="L67" s="45">
        <f>+'Vida Digna'!AA106</f>
        <v>3.6000000000000004E-2</v>
      </c>
      <c r="M67" s="45">
        <f>+'Vida Digna'!AB106</f>
        <v>0.35318833333333338</v>
      </c>
      <c r="N67" s="37"/>
      <c r="O67" s="10"/>
      <c r="P67" s="102"/>
    </row>
    <row r="68" spans="2:16" ht="69" customHeight="1" x14ac:dyDescent="0.7">
      <c r="B68" s="42" t="str">
        <f>+'Vida Digna'!B119:C119</f>
        <v xml:space="preserve"> Vivienda Digna y Hábitat
</v>
      </c>
      <c r="C68" s="1352"/>
      <c r="D68" s="33">
        <f t="shared" ref="D68:G68" si="14">+(D69+D70+D71+D72)/4</f>
        <v>0.17725490196078431</v>
      </c>
      <c r="E68" s="33">
        <f t="shared" si="14"/>
        <v>0.1495081699346405</v>
      </c>
      <c r="F68" s="33">
        <f t="shared" ref="F68:F131" si="15">+J68+E68</f>
        <v>0.29275669934640519</v>
      </c>
      <c r="G68" s="34">
        <f t="shared" si="14"/>
        <v>0.16792156862745097</v>
      </c>
      <c r="H68" s="34">
        <f t="shared" ref="H68:I68" si="16">+(H69+H70+H71+H72)/4</f>
        <v>0.15253039215686273</v>
      </c>
      <c r="I68" s="34">
        <f t="shared" si="16"/>
        <v>0.77680263157894736</v>
      </c>
      <c r="J68" s="33">
        <f>+(J69+J70+J71+J72)/4</f>
        <v>0.14324852941176469</v>
      </c>
      <c r="K68" s="33">
        <f>+(K69+K70+K71+K72)/4</f>
        <v>0.2397588235294118</v>
      </c>
      <c r="L68" s="43">
        <f>+(L69+L70+L71+L72)</f>
        <v>0.13347823529411765</v>
      </c>
      <c r="M68" s="43">
        <f>+'Vida Digna'!AB119</f>
        <v>0.22248258823529413</v>
      </c>
      <c r="N68" s="37"/>
      <c r="O68" s="10"/>
      <c r="P68" s="102"/>
    </row>
    <row r="69" spans="2:16" ht="42" customHeight="1" x14ac:dyDescent="0.7">
      <c r="B69" s="44" t="s">
        <v>1660</v>
      </c>
      <c r="C69" s="1352"/>
      <c r="D69" s="13">
        <f>+'Vida Digna'!I120</f>
        <v>0.04</v>
      </c>
      <c r="E69" s="13">
        <f>+'Vida Digna'!J120</f>
        <v>4.4999999999999998E-2</v>
      </c>
      <c r="F69" s="13">
        <f t="shared" si="15"/>
        <v>8.09E-2</v>
      </c>
      <c r="G69" s="13">
        <f>+'Vida Digna'!K120</f>
        <v>0.04</v>
      </c>
      <c r="H69" s="13">
        <f>+'Vida Digna'!L120</f>
        <v>4.4999999999999998E-2</v>
      </c>
      <c r="I69" s="13">
        <f>+'Vida Digna'!V120</f>
        <v>1</v>
      </c>
      <c r="J69" s="13">
        <f>+'Vida Digna'!Y120</f>
        <v>3.5900000000000001E-2</v>
      </c>
      <c r="K69" s="13">
        <f>+'Vida Digna'!Z120</f>
        <v>8.6300000000000002E-2</v>
      </c>
      <c r="L69" s="45">
        <f>+'Vida Digna'!AA120</f>
        <v>1.077E-2</v>
      </c>
      <c r="M69" s="45">
        <f>+'Vida Digna'!AB120</f>
        <v>8.6300000000000002E-2</v>
      </c>
      <c r="N69" s="37"/>
      <c r="O69" s="10"/>
      <c r="P69" s="102"/>
    </row>
    <row r="70" spans="2:16" ht="33.6" customHeight="1" x14ac:dyDescent="0.7">
      <c r="B70" s="44" t="s">
        <v>1694</v>
      </c>
      <c r="C70" s="1352"/>
      <c r="D70" s="13">
        <f>+'Vida Digna'!I122</f>
        <v>0.21568627450980393</v>
      </c>
      <c r="E70" s="13">
        <f>+'Vida Digna'!J122</f>
        <v>5.7254901960784317E-2</v>
      </c>
      <c r="F70" s="13">
        <f t="shared" si="15"/>
        <v>0.28321568627450983</v>
      </c>
      <c r="G70" s="13">
        <f>+'Vida Digna'!K122</f>
        <v>0.21568627450980393</v>
      </c>
      <c r="H70" s="13">
        <f>+'Vida Digna'!L122</f>
        <v>5.7254901960784317E-2</v>
      </c>
      <c r="I70" s="13">
        <f>+'Vida Digna'!V122</f>
        <v>1</v>
      </c>
      <c r="J70" s="13">
        <f>+'Vida Digna'!Y122</f>
        <v>0.22596078431372549</v>
      </c>
      <c r="K70" s="13">
        <f>+'Vida Digna'!Z122</f>
        <v>0.28556862745098038</v>
      </c>
      <c r="L70" s="45">
        <f>+'Vida Digna'!AA122</f>
        <v>6.7788235294117649E-2</v>
      </c>
      <c r="M70" s="45">
        <f>+'Vida Digna'!AB122</f>
        <v>0.28556862745098038</v>
      </c>
      <c r="N70" s="37"/>
      <c r="O70" s="10"/>
      <c r="P70" s="102"/>
    </row>
    <row r="71" spans="2:16" ht="26.4" customHeight="1" x14ac:dyDescent="0.7">
      <c r="B71" s="44" t="s">
        <v>1695</v>
      </c>
      <c r="C71" s="1352"/>
      <c r="D71" s="13">
        <f>+'Vida Digna'!I124</f>
        <v>0.33</v>
      </c>
      <c r="E71" s="13">
        <f>+'Vida Digna'!J124</f>
        <v>0.2</v>
      </c>
      <c r="F71" s="13">
        <f t="shared" si="15"/>
        <v>0.39580000000000004</v>
      </c>
      <c r="G71" s="13">
        <f>+'Vida Digna'!K124</f>
        <v>0.33</v>
      </c>
      <c r="H71" s="13">
        <f>+'Vida Digna'!L124</f>
        <v>0.2</v>
      </c>
      <c r="I71" s="13">
        <f>+'Vida Digna'!V124</f>
        <v>0.48899999999999999</v>
      </c>
      <c r="J71" s="13">
        <f>+'Vida Digna'!Y124</f>
        <v>0.1958</v>
      </c>
      <c r="K71" s="13">
        <f>+'Vida Digna'!Z124</f>
        <v>0.29360000000000003</v>
      </c>
      <c r="L71" s="45">
        <f>+'Vida Digna'!AA124</f>
        <v>3.916E-2</v>
      </c>
      <c r="M71" s="45">
        <f>+'Vida Digna'!AB124</f>
        <v>0.29360000000000003</v>
      </c>
      <c r="N71" s="37"/>
      <c r="O71" s="10"/>
      <c r="P71" s="102"/>
    </row>
    <row r="72" spans="2:16" ht="40.950000000000003" customHeight="1" x14ac:dyDescent="0.7">
      <c r="B72" s="44" t="s">
        <v>1663</v>
      </c>
      <c r="C72" s="1352"/>
      <c r="D72" s="13">
        <f>+'Vida Digna'!I126</f>
        <v>0.12333333333333334</v>
      </c>
      <c r="E72" s="13">
        <f>+'Vida Digna'!J126</f>
        <v>0.29577777777777775</v>
      </c>
      <c r="F72" s="13">
        <f t="shared" si="15"/>
        <v>0.41111111111111109</v>
      </c>
      <c r="G72" s="13">
        <f>+'Vida Digna'!K126</f>
        <v>8.5999999999999993E-2</v>
      </c>
      <c r="H72" s="13">
        <f>+'Vida Digna'!L126</f>
        <v>0.30786666666666662</v>
      </c>
      <c r="I72" s="13">
        <f>+'Vida Digna'!V126</f>
        <v>0.61821052631578943</v>
      </c>
      <c r="J72" s="13">
        <f>+'Vida Digna'!Y126</f>
        <v>0.11533333333333333</v>
      </c>
      <c r="K72" s="13">
        <f>+'Vida Digna'!Z126</f>
        <v>0.2935666666666667</v>
      </c>
      <c r="L72" s="45">
        <f>+'Vida Digna'!AA126</f>
        <v>1.5760000000000003E-2</v>
      </c>
      <c r="M72" s="45">
        <f>+'Vida Digna'!AB126</f>
        <v>0.26100999999999996</v>
      </c>
      <c r="N72" s="37"/>
      <c r="O72" s="10"/>
      <c r="P72" s="102"/>
    </row>
    <row r="73" spans="2:16" ht="49.8" x14ac:dyDescent="0.7">
      <c r="B73" s="42" t="str">
        <f>+'Vida Digna'!B130:C130</f>
        <v xml:space="preserve">Artes, Cultura y Patrimonio
</v>
      </c>
      <c r="C73" s="1352"/>
      <c r="D73" s="33">
        <f>+(D74+D75+D76+D77+D78+D79)/5</f>
        <v>0.22655250131358057</v>
      </c>
      <c r="E73" s="33">
        <f>+(E74+E75+E76+E77+E78+E79)/6</f>
        <v>0.40396612216494382</v>
      </c>
      <c r="F73" s="33">
        <f>+J73+E73</f>
        <v>0.6175572285863945</v>
      </c>
      <c r="G73" s="34">
        <f>+(G74+G75+G76+G77+G78+G79)/5</f>
        <v>0.2503571688629197</v>
      </c>
      <c r="H73" s="34">
        <f t="shared" ref="H73" si="17">+(H74+H75+H76+H77+H78+H79)/5</f>
        <v>0.41655725758418588</v>
      </c>
      <c r="I73" s="34">
        <f>+(I74+I75+I76+I77+I78+I79)/6</f>
        <v>0.77299867847723902</v>
      </c>
      <c r="J73" s="33">
        <f>+(J74+J75+J76+J77+J78+J79)/5</f>
        <v>0.21359110642145068</v>
      </c>
      <c r="K73" s="33">
        <f>+(K74+K75+K76+K77+K78+K79)/5</f>
        <v>0.67944991280412703</v>
      </c>
      <c r="L73" s="43">
        <f>+(L74+L75+L76+L77+L78+L79)</f>
        <v>0.17679704653535339</v>
      </c>
      <c r="M73" s="43">
        <f>+'Vida Digna'!AB130</f>
        <v>0.53503946200167696</v>
      </c>
      <c r="N73" s="37"/>
      <c r="O73" s="10"/>
      <c r="P73" s="102"/>
    </row>
    <row r="74" spans="2:16" ht="52.2" customHeight="1" x14ac:dyDescent="0.7">
      <c r="B74" s="44" t="s">
        <v>1665</v>
      </c>
      <c r="C74" s="1352"/>
      <c r="D74" s="13">
        <f>+'Vida Digna'!I131</f>
        <v>0.10484583990123605</v>
      </c>
      <c r="E74" s="13">
        <f>+'Vida Digna'!J131</f>
        <v>0.29872381632299655</v>
      </c>
      <c r="F74" s="13">
        <f t="shared" si="15"/>
        <v>0.4054293484302498</v>
      </c>
      <c r="G74" s="13">
        <f>+'Vida Digna'!K131</f>
        <v>6.9160844314598499E-2</v>
      </c>
      <c r="H74" s="13">
        <f>+'Vida Digna'!L131</f>
        <v>0.33846857958759585</v>
      </c>
      <c r="I74" s="13">
        <f>+'Vida Digna'!V131</f>
        <v>0.9198774509803922</v>
      </c>
      <c r="J74" s="13">
        <f>+'Vida Digna'!Y131</f>
        <v>0.10670553210725324</v>
      </c>
      <c r="K74" s="13">
        <f>+'Vida Digna'!Z131</f>
        <v>0.58670067513174595</v>
      </c>
      <c r="L74" s="45">
        <f>+'Vida Digna'!AA131</f>
        <v>2.1309546535353403E-2</v>
      </c>
      <c r="M74" s="45">
        <f>+'Vida Digna'!AB131</f>
        <v>0.51559228074633057</v>
      </c>
      <c r="N74" s="37"/>
      <c r="O74" s="10"/>
      <c r="P74" s="102"/>
    </row>
    <row r="75" spans="2:16" ht="55.95" customHeight="1" x14ac:dyDescent="0.7">
      <c r="B75" s="44" t="s">
        <v>1666</v>
      </c>
      <c r="C75" s="1352"/>
      <c r="D75" s="13">
        <f>+'Vida Digna'!I140</f>
        <v>0.22499999999999998</v>
      </c>
      <c r="E75" s="13">
        <f>+'Vida Digna'!J140</f>
        <v>0.29166666666666663</v>
      </c>
      <c r="F75" s="13">
        <f t="shared" si="15"/>
        <v>0.66124999999999989</v>
      </c>
      <c r="G75" s="13">
        <f>+'Vida Digna'!K140</f>
        <v>0.23583333333333334</v>
      </c>
      <c r="H75" s="13">
        <f>+'Vida Digna'!L140</f>
        <v>0.27083333333333331</v>
      </c>
      <c r="I75" s="13">
        <f>+'Vida Digna'!V140</f>
        <v>1</v>
      </c>
      <c r="J75" s="13">
        <f>+'Vida Digna'!Y140</f>
        <v>0.36958333333333332</v>
      </c>
      <c r="K75" s="13">
        <f>+'Vida Digna'!Z140</f>
        <v>0.98750000000000004</v>
      </c>
      <c r="L75" s="45">
        <f>+'Vida Digna'!AA140</f>
        <v>4.7750000000000001E-2</v>
      </c>
      <c r="M75" s="45">
        <f>+'Vida Digna'!AB140</f>
        <v>0.98750000000000004</v>
      </c>
      <c r="N75" s="37"/>
      <c r="O75" s="10"/>
      <c r="P75" s="102"/>
    </row>
    <row r="76" spans="2:16" ht="40.950000000000003" customHeight="1" x14ac:dyDescent="0.7">
      <c r="B76" s="44" t="s">
        <v>1667</v>
      </c>
      <c r="C76" s="1352"/>
      <c r="D76" s="13">
        <f>+'Vida Digna'!I145</f>
        <v>0.15208333333333332</v>
      </c>
      <c r="E76" s="13">
        <f>+'Vida Digna'!J145</f>
        <v>0.25</v>
      </c>
      <c r="F76" s="13">
        <f t="shared" si="15"/>
        <v>0.43125000000000002</v>
      </c>
      <c r="G76" s="13">
        <f>+'Vida Digna'!K145</f>
        <v>0.24379166666666666</v>
      </c>
      <c r="H76" s="13">
        <f>+'Vida Digna'!L145</f>
        <v>0.25</v>
      </c>
      <c r="I76" s="13">
        <f>+'Vida Digna'!V145</f>
        <v>0.94944444444444454</v>
      </c>
      <c r="J76" s="13">
        <f>+'Vida Digna'!Y145</f>
        <v>0.18124999999999999</v>
      </c>
      <c r="K76" s="13">
        <f>+'Vida Digna'!Z145</f>
        <v>0.67138888888888892</v>
      </c>
      <c r="L76" s="45">
        <f>+'Vida Digna'!AA145</f>
        <v>2.5487500000000003E-2</v>
      </c>
      <c r="M76" s="45">
        <f>+'Vida Digna'!AB145</f>
        <v>0.59612777777777781</v>
      </c>
      <c r="N76" s="37"/>
      <c r="O76" s="10"/>
      <c r="P76" s="102"/>
    </row>
    <row r="77" spans="2:16" ht="47.4" customHeight="1" x14ac:dyDescent="0.7">
      <c r="B77" s="44" t="s">
        <v>1668</v>
      </c>
      <c r="C77" s="1352"/>
      <c r="D77" s="13">
        <f>+'Vida Digna'!I148</f>
        <v>0.21333333333333335</v>
      </c>
      <c r="E77" s="13">
        <f>+'Vida Digna'!J148</f>
        <v>0.57199999999999995</v>
      </c>
      <c r="F77" s="13">
        <f t="shared" si="15"/>
        <v>0.78866666666666663</v>
      </c>
      <c r="G77" s="13">
        <f>+'Vida Digna'!K148</f>
        <v>0.128</v>
      </c>
      <c r="H77" s="13">
        <f>+'Vida Digna'!L148</f>
        <v>0.57200000000000006</v>
      </c>
      <c r="I77" s="13">
        <f>+'Vida Digna'!V148</f>
        <v>0.84833333333333338</v>
      </c>
      <c r="J77" s="13">
        <f>+'Vida Digna'!Y148</f>
        <v>0.21666666666666667</v>
      </c>
      <c r="K77" s="13">
        <f>+'Vida Digna'!Z148</f>
        <v>0.64</v>
      </c>
      <c r="L77" s="45">
        <f>+'Vida Digna'!AA148</f>
        <v>6.5000000000000006E-3</v>
      </c>
      <c r="M77" s="45">
        <f>+'Vida Digna'!AB148</f>
        <v>0.64</v>
      </c>
      <c r="N77" s="37"/>
      <c r="O77" s="10"/>
      <c r="P77" s="102"/>
    </row>
    <row r="78" spans="2:16" ht="51" customHeight="1" x14ac:dyDescent="0.7">
      <c r="B78" s="44" t="s">
        <v>1669</v>
      </c>
      <c r="C78" s="1352"/>
      <c r="D78" s="13">
        <f>+'Vida Digna'!I154</f>
        <v>0.4375</v>
      </c>
      <c r="E78" s="13">
        <f>+'Vida Digna'!J154</f>
        <v>0.34500000000000003</v>
      </c>
      <c r="F78" s="13">
        <f t="shared" si="15"/>
        <v>0.53875000000000006</v>
      </c>
      <c r="G78" s="13">
        <f>+'Vida Digna'!K154</f>
        <v>0.57500000000000007</v>
      </c>
      <c r="H78" s="13">
        <f>+'Vida Digna'!L154</f>
        <v>0.28500000000000003</v>
      </c>
      <c r="I78" s="13">
        <f>+'Vida Digna'!V154</f>
        <v>0.92033684210526323</v>
      </c>
      <c r="J78" s="13">
        <f>+'Vida Digna'!Y154</f>
        <v>0.19375000000000001</v>
      </c>
      <c r="K78" s="13">
        <f>+'Vida Digna'!Z154</f>
        <v>0.51166</v>
      </c>
      <c r="L78" s="45">
        <f>+'Vida Digna'!AA154</f>
        <v>7.5749999999999998E-2</v>
      </c>
      <c r="M78" s="45">
        <f>+'Vida Digna'!AB154</f>
        <v>0.63333000000000006</v>
      </c>
      <c r="N78" s="37"/>
      <c r="O78" s="10"/>
      <c r="P78" s="102"/>
    </row>
    <row r="79" spans="2:16" ht="43.95" customHeight="1" x14ac:dyDescent="0.7">
      <c r="B79" s="44" t="s">
        <v>1670</v>
      </c>
      <c r="C79" s="1352"/>
      <c r="D79" s="13">
        <f>+'Vida Digna'!I160</f>
        <v>0</v>
      </c>
      <c r="E79" s="13">
        <f>+'Vida Digna'!J160</f>
        <v>0.66640624999999998</v>
      </c>
      <c r="F79" s="13">
        <f t="shared" si="15"/>
        <v>0.66640624999999998</v>
      </c>
      <c r="G79" s="13">
        <f>+'Vida Digna'!K160</f>
        <v>0</v>
      </c>
      <c r="H79" s="13">
        <f>+'Vida Digna'!L160</f>
        <v>0.36648437499999997</v>
      </c>
      <c r="I79" s="13">
        <f>+'Vida Digna'!V160</f>
        <v>0</v>
      </c>
      <c r="J79" s="13">
        <f>+'Vida Digna'!Y160</f>
        <v>0</v>
      </c>
      <c r="K79" s="13">
        <f>+'Vida Digna'!Z160</f>
        <v>0</v>
      </c>
      <c r="L79" s="45">
        <f>+'Vida Digna'!AA160</f>
        <v>0</v>
      </c>
      <c r="M79" s="45">
        <f>+'Vida Digna'!AB160</f>
        <v>0</v>
      </c>
      <c r="N79" s="37"/>
      <c r="O79" s="10"/>
      <c r="P79" s="102"/>
    </row>
    <row r="80" spans="2:16" ht="66.599999999999994" customHeight="1" x14ac:dyDescent="0.7">
      <c r="B80" s="42" t="str">
        <f>+'Vida Digna'!B164:C164</f>
        <v xml:space="preserve">Deporte y Recreación
</v>
      </c>
      <c r="C80" s="1352"/>
      <c r="D80" s="33">
        <f t="shared" ref="D80:G80" si="18">+(D81+D82+D83+D84+D85+D86+D87)/7</f>
        <v>0.23893651055292212</v>
      </c>
      <c r="E80" s="33">
        <f t="shared" si="18"/>
        <v>0.28593294105804123</v>
      </c>
      <c r="F80" s="33">
        <f t="shared" si="15"/>
        <v>0.5512547869858142</v>
      </c>
      <c r="G80" s="34">
        <f t="shared" si="18"/>
        <v>0.22368966475650506</v>
      </c>
      <c r="H80" s="34">
        <f t="shared" ref="H80:I80" si="19">+(H81+H82+H83+H84+H85+H86+H87)/7</f>
        <v>0.2870384761939736</v>
      </c>
      <c r="I80" s="34">
        <f t="shared" si="19"/>
        <v>0.93306223549163236</v>
      </c>
      <c r="J80" s="33">
        <f>+(J81+J82+J83+J84+J85+J86+J87)/7</f>
        <v>0.26532184592777297</v>
      </c>
      <c r="K80" s="33">
        <f>+(K81+K82+K83+K84+K85+K86+K87)/7</f>
        <v>0.58130025930285478</v>
      </c>
      <c r="L80" s="43">
        <f>+(L81+L82+L83+L84+L85+L86+L87)</f>
        <v>0.20257591878811407</v>
      </c>
      <c r="M80" s="43">
        <f>+'Vida Digna'!AB164</f>
        <v>0.50415658631572002</v>
      </c>
      <c r="N80" s="37"/>
      <c r="O80" s="10"/>
      <c r="P80" s="102"/>
    </row>
    <row r="81" spans="2:18" ht="57.6" customHeight="1" x14ac:dyDescent="0.7">
      <c r="B81" s="44" t="s">
        <v>1672</v>
      </c>
      <c r="C81" s="1352"/>
      <c r="D81" s="13">
        <f>+'Vida Digna'!I165</f>
        <v>0.3125</v>
      </c>
      <c r="E81" s="13">
        <f>+'Vida Digna'!J165</f>
        <v>0.39083333333333331</v>
      </c>
      <c r="F81" s="13">
        <f t="shared" si="15"/>
        <v>0.56624999999999992</v>
      </c>
      <c r="G81" s="13">
        <f>+'Vida Digna'!K165</f>
        <v>0.3125</v>
      </c>
      <c r="H81" s="13">
        <f>+'Vida Digna'!L165</f>
        <v>0.39083333333333331</v>
      </c>
      <c r="I81" s="13">
        <f>+'Vida Digna'!V165</f>
        <v>0.63698630136986301</v>
      </c>
      <c r="J81" s="13">
        <f>+'Vida Digna'!Y165</f>
        <v>0.17541666666666667</v>
      </c>
      <c r="K81" s="13">
        <f>+'Vida Digna'!Z165</f>
        <v>0.41416666666666668</v>
      </c>
      <c r="L81" s="45">
        <f>+'Vida Digna'!AA165</f>
        <v>6.139583333333333E-2</v>
      </c>
      <c r="M81" s="45">
        <f>+'Vida Digna'!AB165</f>
        <v>0.41416666666666668</v>
      </c>
      <c r="N81" s="37"/>
      <c r="O81" s="10"/>
      <c r="P81" s="102"/>
    </row>
    <row r="82" spans="2:18" ht="34.950000000000003" customHeight="1" x14ac:dyDescent="0.7">
      <c r="B82" s="44" t="s">
        <v>1673</v>
      </c>
      <c r="C82" s="1352"/>
      <c r="D82" s="13">
        <f>+'Vida Digna'!I170</f>
        <v>3.2271422261484099E-2</v>
      </c>
      <c r="E82" s="13">
        <f>+'Vida Digna'!J170</f>
        <v>0.31835247349823326</v>
      </c>
      <c r="F82" s="13">
        <f t="shared" si="15"/>
        <v>0.35554880742049472</v>
      </c>
      <c r="G82" s="13">
        <f>+'Vida Digna'!K170</f>
        <v>2.6429991166077735E-2</v>
      </c>
      <c r="H82" s="13">
        <f>+'Vida Digna'!L170</f>
        <v>0.32069346289752654</v>
      </c>
      <c r="I82" s="13">
        <f>+'Vida Digna'!V170</f>
        <v>1</v>
      </c>
      <c r="J82" s="13">
        <f>+'Vida Digna'!Y170</f>
        <v>3.7196333922261481E-2</v>
      </c>
      <c r="K82" s="13">
        <f>+'Vida Digna'!Z170</f>
        <v>0.36217424911660778</v>
      </c>
      <c r="L82" s="45">
        <f>+'Vida Digna'!AA170</f>
        <v>5.6649734982332153E-3</v>
      </c>
      <c r="M82" s="45">
        <f>+'Vida Digna'!AB170</f>
        <v>0.35829394876325088</v>
      </c>
      <c r="N82" s="37"/>
      <c r="O82" s="10"/>
      <c r="P82" s="102"/>
    </row>
    <row r="83" spans="2:18" ht="48.6" customHeight="1" x14ac:dyDescent="0.7">
      <c r="B83" s="44" t="s">
        <v>1696</v>
      </c>
      <c r="C83" s="1352"/>
      <c r="D83" s="13">
        <f>+'Vida Digna'!I173</f>
        <v>0.25058139534883722</v>
      </c>
      <c r="E83" s="13">
        <f>+'Vida Digna'!J173</f>
        <v>0.25058139534883722</v>
      </c>
      <c r="F83" s="13">
        <f t="shared" si="15"/>
        <v>0.58438759689922481</v>
      </c>
      <c r="G83" s="13">
        <f>+'Vida Digna'!K173</f>
        <v>0.2508139534883721</v>
      </c>
      <c r="H83" s="13">
        <f>+'Vida Digna'!L173</f>
        <v>0.2508139534883721</v>
      </c>
      <c r="I83" s="13">
        <f>+'Vida Digna'!V173</f>
        <v>0.99314814814814811</v>
      </c>
      <c r="J83" s="13">
        <f>+'Vida Digna'!Y173</f>
        <v>0.33380620155038759</v>
      </c>
      <c r="K83" s="13">
        <f>+'Vida Digna'!Z173</f>
        <v>0.58266666666666667</v>
      </c>
      <c r="L83" s="45">
        <f>+'Vida Digna'!AA173</f>
        <v>3.3399534883720931E-2</v>
      </c>
      <c r="M83" s="45">
        <f>+'Vida Digna'!AB173</f>
        <v>0.58239999999999992</v>
      </c>
      <c r="N83" s="37"/>
      <c r="O83" s="10"/>
      <c r="P83" s="102"/>
    </row>
    <row r="84" spans="2:18" ht="46.95" customHeight="1" x14ac:dyDescent="0.7">
      <c r="B84" s="44" t="s">
        <v>1675</v>
      </c>
      <c r="C84" s="1352"/>
      <c r="D84" s="13">
        <f>+'Vida Digna'!I176</f>
        <v>0.40547619047619043</v>
      </c>
      <c r="E84" s="13">
        <f>+'Vida Digna'!J176</f>
        <v>0.26428571428571429</v>
      </c>
      <c r="F84" s="13">
        <f t="shared" si="15"/>
        <v>0.63182240582800286</v>
      </c>
      <c r="G84" s="13">
        <f>+'Vida Digna'!K176</f>
        <v>0.29269047619047617</v>
      </c>
      <c r="H84" s="13">
        <f>+'Vida Digna'!L176</f>
        <v>0.27214285714285719</v>
      </c>
      <c r="I84" s="13">
        <f>+'Vida Digna'!V176</f>
        <v>0.99710447761194021</v>
      </c>
      <c r="J84" s="13">
        <f>+'Vida Digna'!Y176</f>
        <v>0.36753669154228857</v>
      </c>
      <c r="K84" s="13">
        <f>+'Vida Digna'!Z176</f>
        <v>0.70765785358919697</v>
      </c>
      <c r="L84" s="45">
        <f>+'Vida Digna'!AA176</f>
        <v>2.7086664889836534E-2</v>
      </c>
      <c r="M84" s="45">
        <f>+'Vida Digna'!AB176</f>
        <v>0.68686416133617634</v>
      </c>
      <c r="N84" s="37"/>
      <c r="O84" s="10"/>
      <c r="P84" s="102"/>
    </row>
    <row r="85" spans="2:18" ht="58.95" customHeight="1" x14ac:dyDescent="0.7">
      <c r="B85" s="44" t="s">
        <v>1676</v>
      </c>
      <c r="C85" s="1352"/>
      <c r="D85" s="13">
        <f>+'Vida Digna'!I182</f>
        <v>0.25409836065573771</v>
      </c>
      <c r="E85" s="13">
        <f>+'Vida Digna'!J182</f>
        <v>0.25</v>
      </c>
      <c r="F85" s="13">
        <f t="shared" si="15"/>
        <v>0.50537704918032789</v>
      </c>
      <c r="G85" s="13">
        <f>+'Vida Digna'!K182</f>
        <v>0.25409836065573771</v>
      </c>
      <c r="H85" s="13">
        <f>+'Vida Digna'!L182</f>
        <v>0.25</v>
      </c>
      <c r="I85" s="13">
        <f>+'Vida Digna'!V182</f>
        <v>0.92419672131147546</v>
      </c>
      <c r="J85" s="13">
        <f>+'Vida Digna'!Y182</f>
        <v>0.25537704918032789</v>
      </c>
      <c r="K85" s="13">
        <f>+'Vida Digna'!Z182</f>
        <v>0.48642622950819669</v>
      </c>
      <c r="L85" s="45">
        <f>+'Vida Digna'!AA182</f>
        <v>2.553770491803279E-2</v>
      </c>
      <c r="M85" s="45">
        <f>+'Vida Digna'!AB182</f>
        <v>0.48642622950819669</v>
      </c>
      <c r="N85" s="37"/>
      <c r="O85" s="10"/>
      <c r="P85" s="102"/>
    </row>
    <row r="86" spans="2:18" ht="54.6" customHeight="1" x14ac:dyDescent="0.7">
      <c r="B86" s="44" t="s">
        <v>1697</v>
      </c>
      <c r="C86" s="1352"/>
      <c r="D86" s="13">
        <f>+'Vida Digna'!I184</f>
        <v>0.25</v>
      </c>
      <c r="E86" s="13">
        <f>+'Vida Digna'!J184</f>
        <v>0.25948888888888888</v>
      </c>
      <c r="F86" s="13">
        <f t="shared" si="15"/>
        <v>0.55990277777777775</v>
      </c>
      <c r="G86" s="13">
        <f>+'Vida Digna'!K184</f>
        <v>0.25</v>
      </c>
      <c r="H86" s="13">
        <f>+'Vida Digna'!L184</f>
        <v>0.25981777777777776</v>
      </c>
      <c r="I86" s="13">
        <f>+'Vida Digna'!V184</f>
        <v>1</v>
      </c>
      <c r="J86" s="13">
        <f>+'Vida Digna'!Y184</f>
        <v>0.30041388888888887</v>
      </c>
      <c r="K86" s="13">
        <f>+'Vida Digna'!Z184</f>
        <v>0.69670694444444448</v>
      </c>
      <c r="L86" s="45">
        <f>+'Vida Digna'!AA184</f>
        <v>3.0235694444444447E-2</v>
      </c>
      <c r="M86" s="45">
        <f>+'Vida Digna'!AB184</f>
        <v>0.69215680555555559</v>
      </c>
      <c r="N86" s="37"/>
      <c r="O86" s="10"/>
      <c r="P86" s="102"/>
    </row>
    <row r="87" spans="2:18" ht="42" customHeight="1" x14ac:dyDescent="0.7">
      <c r="B87" s="44" t="s">
        <v>1678</v>
      </c>
      <c r="C87" s="1352"/>
      <c r="D87" s="13">
        <f>+'Vida Digna'!I187</f>
        <v>0.16762820512820512</v>
      </c>
      <c r="E87" s="13">
        <f>+'Vida Digna'!J187</f>
        <v>0.26798878205128207</v>
      </c>
      <c r="F87" s="13">
        <f t="shared" si="15"/>
        <v>0.65549487179487176</v>
      </c>
      <c r="G87" s="13">
        <f>+'Vida Digna'!K187</f>
        <v>0.1792948717948718</v>
      </c>
      <c r="H87" s="13">
        <f>+'Vida Digna'!L187</f>
        <v>0.26496794871794871</v>
      </c>
      <c r="I87" s="13">
        <f>+'Vida Digna'!V187</f>
        <v>0.98</v>
      </c>
      <c r="J87" s="13">
        <f>+'Vida Digna'!Y187</f>
        <v>0.38750608974358969</v>
      </c>
      <c r="K87" s="13">
        <f>+'Vida Digna'!Z187</f>
        <v>0.81930320512820509</v>
      </c>
      <c r="L87" s="45">
        <f>+'Vida Digna'!AA187</f>
        <v>1.9255512820512823E-2</v>
      </c>
      <c r="M87" s="45">
        <f>+'Vida Digna'!AB187</f>
        <v>0.85509487179487176</v>
      </c>
      <c r="N87" s="37"/>
      <c r="O87" s="10"/>
      <c r="P87" s="102"/>
    </row>
    <row r="88" spans="2:18" ht="66.599999999999994" customHeight="1" x14ac:dyDescent="0.7">
      <c r="B88" s="42" t="str">
        <f>+'Vida Digna'!B192:C192</f>
        <v xml:space="preserve"> Infancia, Adolescencia y Familia
</v>
      </c>
      <c r="C88" s="1352"/>
      <c r="D88" s="33">
        <f t="shared" ref="D88:G88" si="20">+(D89+D90+D91)/3</f>
        <v>0.23789691874878258</v>
      </c>
      <c r="E88" s="33">
        <f t="shared" si="20"/>
        <v>0.31958568748605082</v>
      </c>
      <c r="F88" s="33">
        <f t="shared" si="15"/>
        <v>0.65956460814799245</v>
      </c>
      <c r="G88" s="34">
        <f t="shared" si="20"/>
        <v>0.18171330652877268</v>
      </c>
      <c r="H88" s="34">
        <f t="shared" ref="H88:I88" si="21">+(H89+H90+H91)/3</f>
        <v>0.28480466761010298</v>
      </c>
      <c r="I88" s="34">
        <f t="shared" si="21"/>
        <v>0.97274305555555551</v>
      </c>
      <c r="J88" s="33">
        <f>+(J89+J90+J91)/3</f>
        <v>0.33997892066194169</v>
      </c>
      <c r="K88" s="33">
        <f>+(K89+K90+K91)/3</f>
        <v>0.70093698469337029</v>
      </c>
      <c r="L88" s="43">
        <f>+(L89+L90+L91)</f>
        <v>0.24110540532107533</v>
      </c>
      <c r="M88" s="43">
        <f>+'Vida Digna'!AB192</f>
        <v>0.7250078734798705</v>
      </c>
      <c r="N88" s="37"/>
      <c r="O88" s="10"/>
      <c r="P88" s="102"/>
    </row>
    <row r="89" spans="2:18" ht="39.6" customHeight="1" x14ac:dyDescent="0.7">
      <c r="B89" s="44" t="s">
        <v>1680</v>
      </c>
      <c r="C89" s="1352"/>
      <c r="D89" s="13">
        <f>+'Vida Digna'!I193</f>
        <v>0.23879427591508487</v>
      </c>
      <c r="E89" s="13">
        <f>+'Vida Digna'!J193</f>
        <v>0.33623578341513416</v>
      </c>
      <c r="F89" s="13">
        <f t="shared" si="15"/>
        <v>0.66864561950378887</v>
      </c>
      <c r="G89" s="13">
        <f>+'Vida Digna'!K193</f>
        <v>0.11410989888238424</v>
      </c>
      <c r="H89" s="13">
        <f>+'Vida Digna'!L193</f>
        <v>0.33924147004908045</v>
      </c>
      <c r="I89" s="13">
        <f>+'Vida Digna'!V193</f>
        <v>1</v>
      </c>
      <c r="J89" s="13">
        <f>+'Vida Digna'!Y193</f>
        <v>0.33240983608865465</v>
      </c>
      <c r="K89" s="13">
        <f>+'Vida Digna'!Z193</f>
        <v>0.67886083762048366</v>
      </c>
      <c r="L89" s="45">
        <f>+'Vida Digna'!AA193</f>
        <v>8.0094974636120198E-2</v>
      </c>
      <c r="M89" s="45">
        <f>+'Vida Digna'!AB193</f>
        <v>0.78121367009638698</v>
      </c>
      <c r="N89" s="37"/>
      <c r="O89" s="10"/>
      <c r="P89" s="102"/>
    </row>
    <row r="90" spans="2:18" ht="53.4" customHeight="1" x14ac:dyDescent="0.7">
      <c r="B90" s="44" t="s">
        <v>1698</v>
      </c>
      <c r="C90" s="1352"/>
      <c r="D90" s="13">
        <f>+'Vida Digna'!I198</f>
        <v>0.31944444444444442</v>
      </c>
      <c r="E90" s="13">
        <f>+'Vida Digna'!J198</f>
        <v>0.34074074074074073</v>
      </c>
      <c r="F90" s="13">
        <f t="shared" si="15"/>
        <v>0.59807581018518519</v>
      </c>
      <c r="G90" s="13">
        <f>+'Vida Digna'!K198</f>
        <v>0.27361111111111114</v>
      </c>
      <c r="H90" s="13">
        <f>+'Vida Digna'!L198</f>
        <v>0.2338888888888889</v>
      </c>
      <c r="I90" s="13">
        <f>+'Vida Digna'!V198</f>
        <v>0.91822916666666665</v>
      </c>
      <c r="J90" s="13">
        <f>+'Vida Digna'!Y198</f>
        <v>0.25733506944444445</v>
      </c>
      <c r="K90" s="13">
        <f>+'Vida Digna'!Z198</f>
        <v>0.57819097222222227</v>
      </c>
      <c r="L90" s="45">
        <f>+'Vida Digna'!AA198</f>
        <v>5.0629340277777775E-2</v>
      </c>
      <c r="M90" s="45">
        <f>+'Vida Digna'!AB198</f>
        <v>0.46282430555555554</v>
      </c>
      <c r="N90" s="37"/>
      <c r="O90" s="10"/>
      <c r="P90" s="102"/>
    </row>
    <row r="91" spans="2:18" ht="48.6" customHeight="1" x14ac:dyDescent="0.7">
      <c r="B91" s="47" t="s">
        <v>1699</v>
      </c>
      <c r="C91" s="1353"/>
      <c r="D91" s="48">
        <f>+'Vida Digna'!I203</f>
        <v>0.1554520358868185</v>
      </c>
      <c r="E91" s="48">
        <f>+'Vida Digna'!J203</f>
        <v>0.28178053830227745</v>
      </c>
      <c r="F91" s="48">
        <f t="shared" si="15"/>
        <v>0.7119723947550034</v>
      </c>
      <c r="G91" s="48">
        <f>+'Vida Digna'!K203</f>
        <v>0.15741890959282262</v>
      </c>
      <c r="H91" s="48">
        <f>+'Vida Digna'!L203</f>
        <v>0.28128364389233956</v>
      </c>
      <c r="I91" s="48">
        <f>+'Vida Digna'!V203</f>
        <v>1</v>
      </c>
      <c r="J91" s="48">
        <f>+'Vida Digna'!Y203</f>
        <v>0.43019185645272601</v>
      </c>
      <c r="K91" s="48">
        <f>+'Vida Digna'!Z203</f>
        <v>0.84575914423740506</v>
      </c>
      <c r="L91" s="49">
        <f>+'Vida Digna'!AA203</f>
        <v>0.11038109040717736</v>
      </c>
      <c r="M91" s="49">
        <f>+'Vida Digna'!AB203</f>
        <v>0.87477984817115262</v>
      </c>
      <c r="N91" s="37"/>
      <c r="O91" s="10"/>
      <c r="P91" s="102"/>
    </row>
    <row r="92" spans="2:18" ht="120" customHeight="1" x14ac:dyDescent="0.7">
      <c r="B92" s="39" t="str">
        <f>+'Desarrollo Economico'!B3:B3</f>
        <v xml:space="preserve"> DESARROLLO ECONÓMICO EQUITATIVO
</v>
      </c>
      <c r="C92" s="1351">
        <v>0.15</v>
      </c>
      <c r="D92" s="40">
        <f>+'Desarrollo Economico'!I3</f>
        <v>0.25743535350812591</v>
      </c>
      <c r="E92" s="40">
        <f>+'Desarrollo Economico'!J3</f>
        <v>0.30996708312904808</v>
      </c>
      <c r="F92" s="40">
        <f t="shared" si="15"/>
        <v>0.54819427564280709</v>
      </c>
      <c r="G92" s="40">
        <f>+'Desarrollo Economico'!K3</f>
        <v>0.19244539710966052</v>
      </c>
      <c r="H92" s="40">
        <f>+'Desarrollo Economico'!L3</f>
        <v>0.29997897073411611</v>
      </c>
      <c r="I92" s="774">
        <f>+'Desarrollo Economico'!V3</f>
        <v>0.7753023577263406</v>
      </c>
      <c r="J92" s="40">
        <f>+'Desarrollo Economico'!Y3</f>
        <v>0.23822719251375898</v>
      </c>
      <c r="K92" s="40">
        <f>+'Desarrollo Economico'!Z3</f>
        <v>0.48812060511247513</v>
      </c>
      <c r="L92" s="41">
        <f>+'Desarrollo Economico'!AA3</f>
        <v>0.20423570426118634</v>
      </c>
      <c r="M92" s="41">
        <f>+'Desarrollo Economico'!AB3</f>
        <v>0.47717044466787067</v>
      </c>
      <c r="N92" s="37"/>
      <c r="O92" s="10"/>
      <c r="P92" s="102"/>
      <c r="R92" s="14"/>
    </row>
    <row r="93" spans="2:18" ht="78.599999999999994" customHeight="1" x14ac:dyDescent="0.7">
      <c r="B93" s="42" t="str">
        <f>+'Desarrollo Economico'!B4:B4</f>
        <v xml:space="preserve"> Competitividad e innovación
</v>
      </c>
      <c r="C93" s="1352"/>
      <c r="D93" s="33">
        <f t="shared" ref="D93:G93" si="22">+(D94+D95)/2</f>
        <v>0.32500000000000001</v>
      </c>
      <c r="E93" s="33">
        <f t="shared" si="22"/>
        <v>0.28333333333333333</v>
      </c>
      <c r="F93" s="33">
        <f t="shared" si="15"/>
        <v>0.65333333333333332</v>
      </c>
      <c r="G93" s="34">
        <f t="shared" si="22"/>
        <v>0.33750000000000002</v>
      </c>
      <c r="H93" s="34">
        <f t="shared" ref="H93" si="23">+(H94+H95)/2</f>
        <v>0.31874999999999998</v>
      </c>
      <c r="I93" s="34">
        <f>+(I94+I95)/2</f>
        <v>0.72499999999999998</v>
      </c>
      <c r="J93" s="33">
        <f>+(J94+J95)/2</f>
        <v>0.37</v>
      </c>
      <c r="K93" s="33">
        <f>+(K94+K95)/2</f>
        <v>0.59083333333333332</v>
      </c>
      <c r="L93" s="43">
        <f>+(L94+L95)</f>
        <v>0.32100000000000001</v>
      </c>
      <c r="M93" s="43">
        <f>+'Desarrollo Economico'!AB4</f>
        <v>0.55075000000000007</v>
      </c>
      <c r="N93" s="37"/>
      <c r="O93" s="10"/>
      <c r="P93" s="102"/>
    </row>
    <row r="94" spans="2:18" ht="54.6" customHeight="1" x14ac:dyDescent="0.7">
      <c r="B94" s="44" t="s">
        <v>1700</v>
      </c>
      <c r="C94" s="1352"/>
      <c r="D94" s="13">
        <f>+'Desarrollo Economico'!I5</f>
        <v>0.4</v>
      </c>
      <c r="E94" s="13">
        <f>+'Desarrollo Economico'!J5</f>
        <v>0.3</v>
      </c>
      <c r="F94" s="13">
        <f t="shared" si="15"/>
        <v>0.8</v>
      </c>
      <c r="G94" s="13">
        <f>+'Desarrollo Economico'!K5</f>
        <v>0.42499999999999999</v>
      </c>
      <c r="H94" s="13">
        <f>+'Desarrollo Economico'!L5</f>
        <v>0.36249999999999999</v>
      </c>
      <c r="I94" s="13">
        <f>+'Desarrollo Economico'!V5</f>
        <v>0.65</v>
      </c>
      <c r="J94" s="13">
        <f>+'Desarrollo Economico'!Y5</f>
        <v>0.5</v>
      </c>
      <c r="K94" s="13">
        <f>+'Desarrollo Economico'!Z5</f>
        <v>0.73</v>
      </c>
      <c r="L94" s="45">
        <f>+'Desarrollo Economico'!AA5</f>
        <v>0.18000000000000002</v>
      </c>
      <c r="M94" s="45">
        <f>+'Desarrollo Economico'!AB5</f>
        <v>0.70750000000000002</v>
      </c>
      <c r="N94" s="37"/>
      <c r="O94" s="10"/>
      <c r="P94" s="102"/>
    </row>
    <row r="95" spans="2:18" ht="50.4" customHeight="1" x14ac:dyDescent="0.7">
      <c r="B95" s="44" t="s">
        <v>1701</v>
      </c>
      <c r="C95" s="1352"/>
      <c r="D95" s="13">
        <f>+'Desarrollo Economico'!I11</f>
        <v>0.25</v>
      </c>
      <c r="E95" s="13">
        <f>+'Desarrollo Economico'!J11</f>
        <v>0.26666666666666666</v>
      </c>
      <c r="F95" s="13">
        <f t="shared" si="15"/>
        <v>0.5066666666666666</v>
      </c>
      <c r="G95" s="13">
        <f>+'Desarrollo Economico'!K11</f>
        <v>0.25</v>
      </c>
      <c r="H95" s="13">
        <f>+'Desarrollo Economico'!L11</f>
        <v>0.27500000000000002</v>
      </c>
      <c r="I95" s="13">
        <f>+'Desarrollo Economico'!V11</f>
        <v>0.79999999999999993</v>
      </c>
      <c r="J95" s="13">
        <f>+'Desarrollo Economico'!Y11</f>
        <v>0.24</v>
      </c>
      <c r="K95" s="13">
        <f>+'Desarrollo Economico'!Z11</f>
        <v>0.45166666666666666</v>
      </c>
      <c r="L95" s="45">
        <f>+'Desarrollo Economico'!AA11</f>
        <v>0.14099999999999999</v>
      </c>
      <c r="M95" s="45">
        <f>+'Desarrollo Economico'!AB11</f>
        <v>0.44624999999999998</v>
      </c>
      <c r="N95" s="37"/>
      <c r="O95" s="10"/>
      <c r="P95" s="102"/>
    </row>
    <row r="96" spans="2:18" ht="93" customHeight="1" x14ac:dyDescent="0.7">
      <c r="B96" s="42" t="str">
        <f>+'Desarrollo Economico'!B15:B15</f>
        <v xml:space="preserve"> Diversificación Económica
</v>
      </c>
      <c r="C96" s="1352"/>
      <c r="D96" s="33">
        <f t="shared" ref="D96:G96" si="24">+(D97+D98+D99+D100)/4</f>
        <v>0.28770833333333334</v>
      </c>
      <c r="E96" s="33">
        <f t="shared" si="24"/>
        <v>0.34704861111111107</v>
      </c>
      <c r="F96" s="33">
        <f t="shared" si="15"/>
        <v>0.57802777777777781</v>
      </c>
      <c r="G96" s="34">
        <f t="shared" si="24"/>
        <v>0.20433333333333331</v>
      </c>
      <c r="H96" s="34">
        <f t="shared" ref="H96:I96" si="25">+(H97+H98+H99+H100)/4</f>
        <v>0.33291666666666664</v>
      </c>
      <c r="I96" s="34">
        <f t="shared" si="25"/>
        <v>0.82645833333333329</v>
      </c>
      <c r="J96" s="33">
        <f>+(J97+J98+J99+J100)/4</f>
        <v>0.23097916666666671</v>
      </c>
      <c r="K96" s="33">
        <f>+(K97+K98+K99+K100)/4</f>
        <v>0.58986633269720101</v>
      </c>
      <c r="L96" s="43">
        <f>+(L97+L98+L99+L100)</f>
        <v>0.373</v>
      </c>
      <c r="M96" s="43">
        <f>+'Desarrollo Economico'!AB15</f>
        <v>0.65223139312977096</v>
      </c>
      <c r="N96" s="37"/>
      <c r="O96" s="10"/>
      <c r="P96" s="102"/>
    </row>
    <row r="97" spans="2:16" ht="48" customHeight="1" x14ac:dyDescent="0.7">
      <c r="B97" s="44" t="s">
        <v>1702</v>
      </c>
      <c r="C97" s="1352"/>
      <c r="D97" s="13">
        <f>+'Desarrollo Economico'!I16</f>
        <v>0.25</v>
      </c>
      <c r="E97" s="13">
        <f>+'Desarrollo Economico'!J16</f>
        <v>0.21875</v>
      </c>
      <c r="F97" s="13">
        <f t="shared" si="15"/>
        <v>0.65625</v>
      </c>
      <c r="G97" s="13">
        <f>+'Desarrollo Economico'!K16</f>
        <v>0.25</v>
      </c>
      <c r="H97" s="13">
        <f>+'Desarrollo Economico'!L16</f>
        <v>0.22500000000000001</v>
      </c>
      <c r="I97" s="13">
        <f>+'Desarrollo Economico'!V16</f>
        <v>0.82250000000000001</v>
      </c>
      <c r="J97" s="13">
        <f>+'Desarrollo Economico'!Y16</f>
        <v>0.4375</v>
      </c>
      <c r="K97" s="13">
        <f>+'Desarrollo Economico'!Z16</f>
        <v>0.72187500000000004</v>
      </c>
      <c r="L97" s="45">
        <f>+'Desarrollo Economico'!AA16</f>
        <v>0.17500000000000002</v>
      </c>
      <c r="M97" s="45">
        <f>+'Desarrollo Economico'!AB16</f>
        <v>0.88874999999999993</v>
      </c>
      <c r="N97" s="37"/>
      <c r="O97" s="10"/>
      <c r="P97" s="102"/>
    </row>
    <row r="98" spans="2:16" ht="48" customHeight="1" x14ac:dyDescent="0.7">
      <c r="B98" s="44" t="s">
        <v>1703</v>
      </c>
      <c r="C98" s="1352"/>
      <c r="D98" s="13">
        <f>+'Desarrollo Economico'!I21</f>
        <v>0.13416666666666666</v>
      </c>
      <c r="E98" s="13">
        <f>+'Desarrollo Economico'!J21</f>
        <v>0.15833333333333333</v>
      </c>
      <c r="F98" s="13">
        <f t="shared" si="15"/>
        <v>0.38750000000000001</v>
      </c>
      <c r="G98" s="13">
        <f>+'Desarrollo Economico'!K21</f>
        <v>0.15733333333333333</v>
      </c>
      <c r="H98" s="13">
        <f>+'Desarrollo Economico'!L21</f>
        <v>0.17666666666666667</v>
      </c>
      <c r="I98" s="13">
        <f>+'Desarrollo Economico'!V21</f>
        <v>1</v>
      </c>
      <c r="J98" s="13">
        <f>+'Desarrollo Economico'!Y21</f>
        <v>0.22916666666666669</v>
      </c>
      <c r="K98" s="13">
        <f>+'Desarrollo Economico'!Z21</f>
        <v>0.55159033078880404</v>
      </c>
      <c r="L98" s="45">
        <f>+'Desarrollo Economico'!AA21</f>
        <v>2.7000000000000003E-2</v>
      </c>
      <c r="M98" s="45">
        <f>+'Desarrollo Economico'!AB21</f>
        <v>0.5779389312977099</v>
      </c>
      <c r="N98" s="37"/>
      <c r="O98" s="10"/>
      <c r="P98" s="102"/>
    </row>
    <row r="99" spans="2:16" ht="48" customHeight="1" x14ac:dyDescent="0.7">
      <c r="B99" s="44" t="s">
        <v>1704</v>
      </c>
      <c r="C99" s="1352"/>
      <c r="D99" s="13">
        <f>+'Desarrollo Economico'!I24</f>
        <v>0.16666666666666666</v>
      </c>
      <c r="E99" s="13">
        <f>+'Desarrollo Economico'!J24</f>
        <v>0.41111111111111115</v>
      </c>
      <c r="F99" s="13">
        <f t="shared" si="15"/>
        <v>0.51836111111111116</v>
      </c>
      <c r="G99" s="13">
        <f>+'Desarrollo Economico'!K24</f>
        <v>4.9999999999999996E-2</v>
      </c>
      <c r="H99" s="13">
        <f>+'Desarrollo Economico'!L24</f>
        <v>0.43999999999999995</v>
      </c>
      <c r="I99" s="13">
        <f>+'Desarrollo Economico'!V24</f>
        <v>0.73333333333333339</v>
      </c>
      <c r="J99" s="13">
        <f>+'Desarrollo Economico'!Y24</f>
        <v>0.10725000000000001</v>
      </c>
      <c r="K99" s="13">
        <f>+'Desarrollo Economico'!Z24</f>
        <v>0.56099999999999994</v>
      </c>
      <c r="L99" s="45">
        <f>+'Desarrollo Economico'!AA24</f>
        <v>4.4999999999999998E-2</v>
      </c>
      <c r="M99" s="45">
        <f>+'Desarrollo Economico'!AB24</f>
        <v>0.36</v>
      </c>
      <c r="N99" s="37"/>
      <c r="O99" s="10"/>
      <c r="P99" s="102"/>
    </row>
    <row r="100" spans="2:16" ht="48" customHeight="1" x14ac:dyDescent="0.7">
      <c r="B100" s="44" t="s">
        <v>1705</v>
      </c>
      <c r="C100" s="1352"/>
      <c r="D100" s="13">
        <f>+'Desarrollo Economico'!I28</f>
        <v>0.6</v>
      </c>
      <c r="E100" s="13">
        <f>+'Desarrollo Economico'!J28</f>
        <v>0.6</v>
      </c>
      <c r="F100" s="13">
        <f t="shared" si="15"/>
        <v>0.75</v>
      </c>
      <c r="G100" s="13">
        <f>+'Desarrollo Economico'!K28</f>
        <v>0.36</v>
      </c>
      <c r="H100" s="13">
        <f>+'Desarrollo Economico'!L28</f>
        <v>0.49</v>
      </c>
      <c r="I100" s="13">
        <f>+'Desarrollo Economico'!V28</f>
        <v>0.75000000000000011</v>
      </c>
      <c r="J100" s="13">
        <f>+'Desarrollo Economico'!Y28</f>
        <v>0.15</v>
      </c>
      <c r="K100" s="13">
        <f>+'Desarrollo Economico'!Z28</f>
        <v>0.52500000000000002</v>
      </c>
      <c r="L100" s="45">
        <f>+'Desarrollo Economico'!AA28</f>
        <v>0.126</v>
      </c>
      <c r="M100" s="45">
        <f>+'Desarrollo Economico'!AB28</f>
        <v>0.755</v>
      </c>
      <c r="N100" s="37"/>
      <c r="O100" s="10"/>
      <c r="P100" s="102"/>
    </row>
    <row r="101" spans="2:16" ht="70.2" customHeight="1" x14ac:dyDescent="0.7">
      <c r="B101" s="42" t="str">
        <f>+'Desarrollo Economico'!B33:B33</f>
        <v xml:space="preserve"> Trabajo Decente y Cierre de Brechas Laborales
</v>
      </c>
      <c r="C101" s="1352"/>
      <c r="D101" s="33">
        <f t="shared" ref="D101:G101" si="26">+(D102+D103+D104)/3</f>
        <v>0.36472934472934471</v>
      </c>
      <c r="E101" s="33">
        <f t="shared" si="26"/>
        <v>0.15683760683760684</v>
      </c>
      <c r="F101" s="33">
        <f t="shared" si="15"/>
        <v>0.44333803418803419</v>
      </c>
      <c r="G101" s="34">
        <f t="shared" si="26"/>
        <v>0.25547008547008548</v>
      </c>
      <c r="H101" s="34">
        <f t="shared" ref="H101:I101" si="27">+(H102+H103+H104)/3</f>
        <v>0.16822649572649573</v>
      </c>
      <c r="I101" s="34">
        <f t="shared" si="27"/>
        <v>0.87481481481481482</v>
      </c>
      <c r="J101" s="33">
        <f>+(J102+J103+J104)/3</f>
        <v>0.28650042735042736</v>
      </c>
      <c r="K101" s="33">
        <f>+(K102+K103+K104)/3</f>
        <v>0.55999045584045581</v>
      </c>
      <c r="L101" s="43">
        <f>+(L102+L103+L104)</f>
        <v>0.23447615384615383</v>
      </c>
      <c r="M101" s="43">
        <f>+'Desarrollo Economico'!AB33</f>
        <v>0.45406589743589743</v>
      </c>
      <c r="N101" s="37"/>
      <c r="O101" s="10"/>
      <c r="P101" s="102"/>
    </row>
    <row r="102" spans="2:16" ht="43.2" customHeight="1" x14ac:dyDescent="0.7">
      <c r="B102" s="44" t="s">
        <v>1706</v>
      </c>
      <c r="C102" s="1352"/>
      <c r="D102" s="13">
        <f>+'Desarrollo Economico'!I34</f>
        <v>8.6111111111111097E-2</v>
      </c>
      <c r="E102" s="13">
        <f>+'Desarrollo Economico'!J34</f>
        <v>8.1666666666666665E-2</v>
      </c>
      <c r="F102" s="13">
        <f t="shared" si="15"/>
        <v>0.18703333333333333</v>
      </c>
      <c r="G102" s="13">
        <f>+'Desarrollo Economico'!K34</f>
        <v>5.0833333333333328E-2</v>
      </c>
      <c r="H102" s="13">
        <f>+'Desarrollo Economico'!L34</f>
        <v>0.11583333333333333</v>
      </c>
      <c r="I102" s="13">
        <f>+'Desarrollo Economico'!V34</f>
        <v>0.62444444444444447</v>
      </c>
      <c r="J102" s="13">
        <f>+'Desarrollo Economico'!Y34</f>
        <v>0.10536666666666666</v>
      </c>
      <c r="K102" s="13">
        <f>+'Desarrollo Economico'!Z34</f>
        <v>0.27314444444444441</v>
      </c>
      <c r="L102" s="45">
        <f>+'Desarrollo Economico'!AA34</f>
        <v>4.5942499999999997E-2</v>
      </c>
      <c r="M102" s="45">
        <f>+'Desarrollo Economico'!AB34</f>
        <v>0.20471833333333331</v>
      </c>
      <c r="N102" s="37"/>
      <c r="O102" s="10"/>
      <c r="P102" s="102"/>
    </row>
    <row r="103" spans="2:16" ht="31.2" customHeight="1" x14ac:dyDescent="0.7">
      <c r="B103" s="44" t="s">
        <v>1707</v>
      </c>
      <c r="C103" s="1352"/>
      <c r="D103" s="13">
        <f>+'Desarrollo Economico'!I40</f>
        <v>0.58499999999999996</v>
      </c>
      <c r="E103" s="13">
        <f>+'Desarrollo Economico'!J40</f>
        <v>0.23500000000000001</v>
      </c>
      <c r="F103" s="13">
        <f t="shared" si="15"/>
        <v>0.54375000000000007</v>
      </c>
      <c r="G103" s="13">
        <f>+'Desarrollo Economico'!K40</f>
        <v>0.29249999999999998</v>
      </c>
      <c r="H103" s="13">
        <f>+'Desarrollo Economico'!L40</f>
        <v>0.23500000000000001</v>
      </c>
      <c r="I103" s="13">
        <f>+'Desarrollo Economico'!V40</f>
        <v>1</v>
      </c>
      <c r="J103" s="13">
        <f>+'Desarrollo Economico'!Y40</f>
        <v>0.30875000000000002</v>
      </c>
      <c r="K103" s="13">
        <f>+'Desarrollo Economico'!Z40</f>
        <v>0.54374999999999996</v>
      </c>
      <c r="L103" s="45">
        <f>+'Desarrollo Economico'!AA40</f>
        <v>7.7187500000000006E-2</v>
      </c>
      <c r="M103" s="45">
        <f>+'Desarrollo Economico'!AB40</f>
        <v>0.54374999999999996</v>
      </c>
      <c r="N103" s="37"/>
      <c r="O103" s="10"/>
      <c r="P103" s="102"/>
    </row>
    <row r="104" spans="2:16" ht="51.6" customHeight="1" x14ac:dyDescent="0.7">
      <c r="B104" s="44" t="s">
        <v>1708</v>
      </c>
      <c r="C104" s="1352"/>
      <c r="D104" s="13">
        <f>+'Desarrollo Economico'!I43</f>
        <v>0.42307692307692307</v>
      </c>
      <c r="E104" s="13">
        <f>+'Desarrollo Economico'!J43</f>
        <v>0.15384615384615385</v>
      </c>
      <c r="F104" s="13">
        <f t="shared" si="15"/>
        <v>0.59923076923076923</v>
      </c>
      <c r="G104" s="13">
        <f>+'Desarrollo Economico'!K43</f>
        <v>0.42307692307692307</v>
      </c>
      <c r="H104" s="13">
        <f>+'Desarrollo Economico'!L43</f>
        <v>0.15384615384615385</v>
      </c>
      <c r="I104" s="13">
        <f>+'Desarrollo Economico'!V43</f>
        <v>1</v>
      </c>
      <c r="J104" s="13">
        <f>+'Desarrollo Economico'!Y43</f>
        <v>0.44538461538461538</v>
      </c>
      <c r="K104" s="13">
        <f>+'Desarrollo Economico'!Z43</f>
        <v>0.86307692307692307</v>
      </c>
      <c r="L104" s="45">
        <f>+'Desarrollo Economico'!AA43</f>
        <v>0.11134615384615384</v>
      </c>
      <c r="M104" s="45">
        <f>+'Desarrollo Economico'!AB43</f>
        <v>0.86307692307692307</v>
      </c>
      <c r="N104" s="37"/>
      <c r="O104" s="10"/>
      <c r="P104" s="102"/>
    </row>
    <row r="105" spans="2:16" ht="49.8" x14ac:dyDescent="0.7">
      <c r="B105" s="42" t="str">
        <f>+'Desarrollo Economico'!B45:B45</f>
        <v xml:space="preserve"> Economía Popular y Emprendimiento
</v>
      </c>
      <c r="C105" s="1352"/>
      <c r="D105" s="33">
        <f>+(D106+D107+D108+D109)/3</f>
        <v>0.15416666666666667</v>
      </c>
      <c r="E105" s="33">
        <f>+(E106+E107+E108+E109)/4</f>
        <v>0.28135416666666668</v>
      </c>
      <c r="F105" s="33">
        <f t="shared" si="15"/>
        <v>0.45191666666666674</v>
      </c>
      <c r="G105" s="34">
        <f>+(G106+G107+G108+G109)/3</f>
        <v>7.0208333333333331E-2</v>
      </c>
      <c r="H105" s="34">
        <f t="shared" ref="H105" si="28">+(H106+H107+H108+H109)/3</f>
        <v>0.38183333333333341</v>
      </c>
      <c r="I105" s="34">
        <f>+(I106+I107+I108+I109)/4</f>
        <v>0.68520833333333331</v>
      </c>
      <c r="J105" s="33">
        <f>+(J106+J107+J108+J109)/3</f>
        <v>0.17056250000000003</v>
      </c>
      <c r="K105" s="33">
        <f>+(K106+K107+K108+K109)/4</f>
        <v>0.39236458333333335</v>
      </c>
      <c r="L105" s="43">
        <f>+(L106+L107+L108+L109)</f>
        <v>0.11891499999999999</v>
      </c>
      <c r="M105" s="43">
        <f>+'Desarrollo Economico'!AB45</f>
        <v>0.48483416666666668</v>
      </c>
      <c r="N105" s="37"/>
      <c r="O105" s="10"/>
      <c r="P105" s="102"/>
    </row>
    <row r="106" spans="2:16" ht="36" customHeight="1" x14ac:dyDescent="0.7">
      <c r="B106" s="44" t="s">
        <v>1709</v>
      </c>
      <c r="C106" s="1352"/>
      <c r="D106" s="13">
        <f>+'Desarrollo Economico'!I46</f>
        <v>0.21249999999999999</v>
      </c>
      <c r="E106" s="13">
        <f>+'Desarrollo Economico'!J46</f>
        <v>0.32916666666666666</v>
      </c>
      <c r="F106" s="13">
        <f t="shared" si="15"/>
        <v>0.4916666666666667</v>
      </c>
      <c r="G106" s="13">
        <f>+'Desarrollo Economico'!K46</f>
        <v>7.8125E-2</v>
      </c>
      <c r="H106" s="13">
        <f>+'Desarrollo Economico'!L46</f>
        <v>0.27500000000000002</v>
      </c>
      <c r="I106" s="13">
        <f>+'Desarrollo Economico'!V46</f>
        <v>0.77833333333333332</v>
      </c>
      <c r="J106" s="13">
        <f>+'Desarrollo Economico'!Y46</f>
        <v>0.16250000000000001</v>
      </c>
      <c r="K106" s="13">
        <f>+'Desarrollo Economico'!Z46</f>
        <v>0.3838333333333333</v>
      </c>
      <c r="L106" s="45">
        <f>+'Desarrollo Economico'!AA46</f>
        <v>1.6406250000000001E-2</v>
      </c>
      <c r="M106" s="45">
        <f>+'Desarrollo Economico'!AB46</f>
        <v>0.34800000000000003</v>
      </c>
      <c r="N106" s="37"/>
      <c r="O106" s="10"/>
      <c r="P106" s="102"/>
    </row>
    <row r="107" spans="2:16" ht="65.400000000000006" customHeight="1" x14ac:dyDescent="0.7">
      <c r="B107" s="44" t="s">
        <v>1710</v>
      </c>
      <c r="C107" s="1352"/>
      <c r="D107" s="13">
        <f>+'Desarrollo Economico'!I54</f>
        <v>0.125</v>
      </c>
      <c r="E107" s="13">
        <f>+'Desarrollo Economico'!J54</f>
        <v>0.34375</v>
      </c>
      <c r="F107" s="13">
        <f t="shared" si="15"/>
        <v>0.42743750000000003</v>
      </c>
      <c r="G107" s="13">
        <f>+'Desarrollo Economico'!K54</f>
        <v>6.25E-2</v>
      </c>
      <c r="H107" s="13">
        <f>+'Desarrollo Economico'!L54</f>
        <v>0.36499999999999999</v>
      </c>
      <c r="I107" s="13">
        <f>+'Desarrollo Economico'!V54</f>
        <v>1</v>
      </c>
      <c r="J107" s="13">
        <f>+'Desarrollo Economico'!Y54</f>
        <v>8.3687499999999998E-2</v>
      </c>
      <c r="K107" s="13">
        <f>+'Desarrollo Economico'!Z54</f>
        <v>0.46825</v>
      </c>
      <c r="L107" s="45">
        <f>+'Desarrollo Economico'!AA54</f>
        <v>5.8581249999999994E-2</v>
      </c>
      <c r="M107" s="45">
        <f>+'Desarrollo Economico'!AB54</f>
        <v>0.61399999999999999</v>
      </c>
      <c r="N107" s="37"/>
      <c r="O107" s="10"/>
      <c r="P107" s="102"/>
    </row>
    <row r="108" spans="2:16" ht="36.6" x14ac:dyDescent="0.7">
      <c r="B108" s="44" t="s">
        <v>1711</v>
      </c>
      <c r="C108" s="1352"/>
      <c r="D108" s="13">
        <f>+'Desarrollo Economico'!I59</f>
        <v>0.125</v>
      </c>
      <c r="E108" s="13">
        <f>+'Desarrollo Economico'!J59</f>
        <v>0.45250000000000001</v>
      </c>
      <c r="F108" s="13">
        <f t="shared" si="15"/>
        <v>0.71799999999999997</v>
      </c>
      <c r="G108" s="13">
        <f>+'Desarrollo Economico'!K59</f>
        <v>7.0000000000000007E-2</v>
      </c>
      <c r="H108" s="13">
        <f>+'Desarrollo Economico'!L59</f>
        <v>0.50550000000000006</v>
      </c>
      <c r="I108" s="13">
        <f>+'Desarrollo Economico'!V59</f>
        <v>0.96250000000000002</v>
      </c>
      <c r="J108" s="13">
        <f>+'Desarrollo Economico'!Y59</f>
        <v>0.26550000000000001</v>
      </c>
      <c r="K108" s="13">
        <f>+'Desarrollo Economico'!Z59</f>
        <v>0.58320833333333333</v>
      </c>
      <c r="L108" s="45">
        <f>+'Desarrollo Economico'!AA59</f>
        <v>4.3927500000000001E-2</v>
      </c>
      <c r="M108" s="45">
        <f>+'Desarrollo Economico'!AB59</f>
        <v>0.56505833333333333</v>
      </c>
      <c r="N108" s="37"/>
      <c r="O108" s="10"/>
      <c r="P108" s="102"/>
    </row>
    <row r="109" spans="2:16" ht="46.95" customHeight="1" x14ac:dyDescent="0.7">
      <c r="B109" s="44" t="s">
        <v>1712</v>
      </c>
      <c r="C109" s="1352"/>
      <c r="D109" s="13">
        <f>+'Desarrollo Economico'!I64</f>
        <v>0</v>
      </c>
      <c r="E109" s="13">
        <f>+'Desarrollo Economico'!J64</f>
        <v>0</v>
      </c>
      <c r="F109" s="13">
        <f t="shared" si="15"/>
        <v>0</v>
      </c>
      <c r="G109" s="13">
        <f>+'Desarrollo Economico'!K64</f>
        <v>0</v>
      </c>
      <c r="H109" s="13">
        <f>+'Desarrollo Economico'!L64</f>
        <v>0</v>
      </c>
      <c r="I109" s="13">
        <f>+'Desarrollo Economico'!V64</f>
        <v>0</v>
      </c>
      <c r="J109" s="13">
        <f>+'Desarrollo Economico'!Y64</f>
        <v>0</v>
      </c>
      <c r="K109" s="13">
        <f>+'Desarrollo Economico'!Z64</f>
        <v>0.13416666666666666</v>
      </c>
      <c r="L109" s="45">
        <f>+'Desarrollo Economico'!AA64</f>
        <v>0</v>
      </c>
      <c r="M109" s="45">
        <f>+'Desarrollo Economico'!AB64</f>
        <v>0.13416666666666666</v>
      </c>
      <c r="N109" s="37"/>
      <c r="O109" s="10"/>
      <c r="P109" s="102"/>
    </row>
    <row r="110" spans="2:16" ht="88.95" customHeight="1" x14ac:dyDescent="0.7">
      <c r="B110" s="42" t="str">
        <f>+'Desarrollo Economico'!B67:B67</f>
        <v xml:space="preserve">Turismo Sostenible y Responsable
</v>
      </c>
      <c r="C110" s="1352"/>
      <c r="D110" s="33">
        <f>+(D111+D112+D113+D114+D115)/5</f>
        <v>0.1135</v>
      </c>
      <c r="E110" s="33">
        <f>+(E111+E112+E113+E114+E115)/5</f>
        <v>0.50593420257578892</v>
      </c>
      <c r="F110" s="33">
        <f t="shared" si="15"/>
        <v>0.6744342025757889</v>
      </c>
      <c r="G110" s="34">
        <f>+(G111+G112+G113+G114+G115)/5</f>
        <v>0.20750000000000002</v>
      </c>
      <c r="H110" s="34">
        <f t="shared" ref="H110:I110" si="29">+(H111+H112+H113+H114+H115)/5</f>
        <v>0.47529743197983565</v>
      </c>
      <c r="I110" s="34">
        <f t="shared" si="29"/>
        <v>0.81744444444444453</v>
      </c>
      <c r="J110" s="33">
        <f>+(J111+J112+J113+J114+J115)/5</f>
        <v>0.16850000000000001</v>
      </c>
      <c r="K110" s="33">
        <f>+(K111+K112+K113+K114+K115)/5</f>
        <v>0.51483556384227602</v>
      </c>
      <c r="L110" s="43">
        <f>+(L111+L112+L113+L114+L115)</f>
        <v>8.3350000000000007E-2</v>
      </c>
      <c r="M110" s="43">
        <f>+'Desarrollo Economico'!AB67</f>
        <v>0.46027253772184246</v>
      </c>
      <c r="N110" s="37"/>
      <c r="O110" s="10"/>
      <c r="P110" s="102"/>
    </row>
    <row r="111" spans="2:16" ht="40.950000000000003" customHeight="1" x14ac:dyDescent="0.7">
      <c r="B111" s="44" t="s">
        <v>1713</v>
      </c>
      <c r="C111" s="1352"/>
      <c r="D111" s="13">
        <f>+'Desarrollo Economico'!I68</f>
        <v>0</v>
      </c>
      <c r="E111" s="13">
        <f>+'Desarrollo Economico'!J68</f>
        <v>0.3845486111111111</v>
      </c>
      <c r="F111" s="13">
        <f t="shared" si="15"/>
        <v>0.3845486111111111</v>
      </c>
      <c r="G111" s="13">
        <f>+'Desarrollo Economico'!K68</f>
        <v>0</v>
      </c>
      <c r="H111" s="13">
        <f>+'Desarrollo Economico'!L68</f>
        <v>0.35642361111111109</v>
      </c>
      <c r="I111" s="13">
        <f>+'Desarrollo Economico'!V68</f>
        <v>1</v>
      </c>
      <c r="J111" s="13">
        <f>+'Desarrollo Economico'!Y68</f>
        <v>0</v>
      </c>
      <c r="K111" s="13">
        <f>+'Desarrollo Economico'!Z68</f>
        <v>0.40173611111111107</v>
      </c>
      <c r="L111" s="45">
        <f>+'Desarrollo Economico'!AA68</f>
        <v>0</v>
      </c>
      <c r="M111" s="45">
        <f>+'Desarrollo Economico'!AB68</f>
        <v>0.38048611111111108</v>
      </c>
      <c r="N111" s="37"/>
      <c r="O111" s="10"/>
      <c r="P111" s="102"/>
    </row>
    <row r="112" spans="2:16" ht="36.6" x14ac:dyDescent="0.7">
      <c r="B112" s="44" t="s">
        <v>1714</v>
      </c>
      <c r="C112" s="1352"/>
      <c r="D112" s="13">
        <f>+'Desarrollo Economico'!I73</f>
        <v>0</v>
      </c>
      <c r="E112" s="13">
        <f>+'Desarrollo Economico'!J73</f>
        <v>0.53803906843450033</v>
      </c>
      <c r="F112" s="13">
        <f t="shared" si="15"/>
        <v>0.53803906843450033</v>
      </c>
      <c r="G112" s="13">
        <f>+'Desarrollo Economico'!K73</f>
        <v>0</v>
      </c>
      <c r="H112" s="13">
        <f>+'Desarrollo Economico'!L73</f>
        <v>0.44564688212140052</v>
      </c>
      <c r="I112" s="13">
        <f>+'Desarrollo Economico'!V73</f>
        <v>0.78472222222222221</v>
      </c>
      <c r="J112" s="13">
        <f>+'Desarrollo Economico'!Y73</f>
        <v>0</v>
      </c>
      <c r="K112" s="13">
        <f>+'Desarrollo Economico'!Z73</f>
        <v>0.46258059698915827</v>
      </c>
      <c r="L112" s="45">
        <f>+'Desarrollo Economico'!AA73</f>
        <v>0</v>
      </c>
      <c r="M112" s="45">
        <f>+'Desarrollo Economico'!AB73</f>
        <v>0.4207967163869899</v>
      </c>
      <c r="N112" s="37"/>
      <c r="O112" s="10"/>
      <c r="P112" s="102"/>
    </row>
    <row r="113" spans="2:16" ht="36.6" x14ac:dyDescent="0.7">
      <c r="B113" s="44" t="s">
        <v>1715</v>
      </c>
      <c r="C113" s="1352"/>
      <c r="D113" s="13">
        <f>+'Desarrollo Economico'!I86</f>
        <v>0.23749999999999999</v>
      </c>
      <c r="E113" s="13">
        <f>+'Desarrollo Economico'!J86</f>
        <v>0.23749999999999999</v>
      </c>
      <c r="F113" s="13">
        <f t="shared" si="15"/>
        <v>0.75</v>
      </c>
      <c r="G113" s="13">
        <f>+'Desarrollo Economico'!K86</f>
        <v>0.23749999999999999</v>
      </c>
      <c r="H113" s="13">
        <f>+'Desarrollo Economico'!L86</f>
        <v>0.23749999999999999</v>
      </c>
      <c r="I113" s="13">
        <f>+'Desarrollo Economico'!V86</f>
        <v>0.75</v>
      </c>
      <c r="J113" s="13">
        <f>+'Desarrollo Economico'!Y86</f>
        <v>0.51249999999999996</v>
      </c>
      <c r="K113" s="13">
        <f>+'Desarrollo Economico'!Z86</f>
        <v>0.69166666666666665</v>
      </c>
      <c r="L113" s="45">
        <f>+'Desarrollo Economico'!AA86</f>
        <v>4.3750000000000004E-2</v>
      </c>
      <c r="M113" s="45">
        <f>+'Desarrollo Economico'!AB86</f>
        <v>0.63250000000000006</v>
      </c>
      <c r="N113" s="37"/>
      <c r="O113" s="10"/>
      <c r="P113" s="102"/>
    </row>
    <row r="114" spans="2:16" ht="30" customHeight="1" x14ac:dyDescent="0.7">
      <c r="B114" s="44" t="s">
        <v>1716</v>
      </c>
      <c r="C114" s="1352"/>
      <c r="D114" s="13">
        <f>+'Desarrollo Economico'!I91</f>
        <v>0</v>
      </c>
      <c r="E114" s="13">
        <f>+'Desarrollo Economico'!J91</f>
        <v>0.36958333333333332</v>
      </c>
      <c r="F114" s="13">
        <f t="shared" si="15"/>
        <v>0.36958333333333332</v>
      </c>
      <c r="G114" s="13">
        <f>+'Desarrollo Economico'!K91</f>
        <v>0</v>
      </c>
      <c r="H114" s="13">
        <f>+'Desarrollo Economico'!L91</f>
        <v>0.33691666666666664</v>
      </c>
      <c r="I114" s="13">
        <f>+'Desarrollo Economico'!V91</f>
        <v>0.9458333333333333</v>
      </c>
      <c r="J114" s="13">
        <f>+'Desarrollo Economico'!Y91</f>
        <v>0</v>
      </c>
      <c r="K114" s="13">
        <f>+'Desarrollo Economico'!Z91</f>
        <v>0.35152777777777777</v>
      </c>
      <c r="L114" s="45">
        <f>+'Desarrollo Economico'!AA91</f>
        <v>0</v>
      </c>
      <c r="M114" s="45">
        <f>+'Desarrollo Economico'!AB91</f>
        <v>0.30080555555555555</v>
      </c>
      <c r="N114" s="37"/>
      <c r="O114" s="10"/>
      <c r="P114" s="102"/>
    </row>
    <row r="115" spans="2:16" ht="59.4" customHeight="1" x14ac:dyDescent="0.7">
      <c r="B115" s="44" t="s">
        <v>1717</v>
      </c>
      <c r="C115" s="1352"/>
      <c r="D115" s="13">
        <f>+'Desarrollo Economico'!I96</f>
        <v>0.33</v>
      </c>
      <c r="E115" s="13">
        <f>+'Desarrollo Economico'!J96</f>
        <v>1</v>
      </c>
      <c r="F115" s="13">
        <v>1</v>
      </c>
      <c r="G115" s="13">
        <f>+'Desarrollo Economico'!K96</f>
        <v>0.8</v>
      </c>
      <c r="H115" s="13">
        <f>+'Desarrollo Economico'!L96</f>
        <v>1</v>
      </c>
      <c r="I115" s="13">
        <f>+'Desarrollo Economico'!V96</f>
        <v>0.60666666666666669</v>
      </c>
      <c r="J115" s="13">
        <f>+'Desarrollo Economico'!Y96</f>
        <v>0.33</v>
      </c>
      <c r="K115" s="13">
        <f>+'Desarrollo Economico'!Z96</f>
        <v>0.66666666666666663</v>
      </c>
      <c r="L115" s="45">
        <f>+'Desarrollo Economico'!AA96</f>
        <v>3.9600000000000003E-2</v>
      </c>
      <c r="M115" s="45">
        <f>+'Desarrollo Economico'!AB96</f>
        <v>0.85000000000000009</v>
      </c>
      <c r="N115" s="37"/>
      <c r="O115" s="10"/>
      <c r="P115" s="102"/>
    </row>
    <row r="116" spans="2:16" ht="49.8" x14ac:dyDescent="0.7">
      <c r="B116" s="42" t="str">
        <f>+'Desarrollo Economico'!B100:B100</f>
        <v xml:space="preserve"> Desarrollo Agropecuario 
</v>
      </c>
      <c r="C116" s="1352"/>
      <c r="D116" s="33">
        <f t="shared" ref="D116:G116" si="30">+(D117+D118+D119)/3</f>
        <v>0.17360979649420338</v>
      </c>
      <c r="E116" s="33">
        <f t="shared" si="30"/>
        <v>0.38970610582327403</v>
      </c>
      <c r="F116" s="33">
        <f t="shared" si="15"/>
        <v>0.58398769273582618</v>
      </c>
      <c r="G116" s="34">
        <f t="shared" si="30"/>
        <v>9.382477763087127E-2</v>
      </c>
      <c r="H116" s="34">
        <f t="shared" ref="H116:I116" si="31">+(H117+H118+H119)/3</f>
        <v>0.32245386743248144</v>
      </c>
      <c r="I116" s="34">
        <f t="shared" si="31"/>
        <v>0.78319057815845816</v>
      </c>
      <c r="J116" s="33">
        <f>+(J117+J118+J119)/3</f>
        <v>0.19428158691255218</v>
      </c>
      <c r="K116" s="33">
        <f>+(K117+K118+K119)/3</f>
        <v>0.40940952229628164</v>
      </c>
      <c r="L116" s="43">
        <f>+(L117+L118+L119)</f>
        <v>0.10879627598215055</v>
      </c>
      <c r="M116" s="43">
        <f>+'Desarrollo Economico'!AB100</f>
        <v>0.45634263977502848</v>
      </c>
      <c r="N116" s="37"/>
      <c r="O116" s="10"/>
      <c r="P116" s="102"/>
    </row>
    <row r="117" spans="2:16" ht="54.6" customHeight="1" x14ac:dyDescent="0.7">
      <c r="B117" s="44" t="s">
        <v>1718</v>
      </c>
      <c r="C117" s="1352"/>
      <c r="D117" s="13">
        <f>+'Desarrollo Economico'!I101</f>
        <v>0.17798528579513301</v>
      </c>
      <c r="E117" s="13">
        <f>+'Desarrollo Economico'!J101</f>
        <v>0.28952461799660439</v>
      </c>
      <c r="F117" s="13">
        <f t="shared" si="15"/>
        <v>0.46818902093944537</v>
      </c>
      <c r="G117" s="13">
        <f>+'Desarrollo Economico'!K101</f>
        <v>0.17798528579513301</v>
      </c>
      <c r="H117" s="13">
        <f>+'Desarrollo Economico'!L101</f>
        <v>0.28952461799660439</v>
      </c>
      <c r="I117" s="13">
        <f>+'Desarrollo Economico'!V101</f>
        <v>0.99957173447537462</v>
      </c>
      <c r="J117" s="13">
        <f>+'Desarrollo Economico'!Y101</f>
        <v>0.17866440294284094</v>
      </c>
      <c r="K117" s="13">
        <f>+'Desarrollo Economico'!Z101</f>
        <v>0.46807583474816078</v>
      </c>
      <c r="L117" s="45">
        <f>+'Desarrollo Economico'!AA101</f>
        <v>4.4666100735710243E-2</v>
      </c>
      <c r="M117" s="45">
        <f>+'Desarrollo Economico'!AB101</f>
        <v>0.46807583474816072</v>
      </c>
      <c r="N117" s="37"/>
      <c r="O117" s="10"/>
      <c r="P117" s="102"/>
    </row>
    <row r="118" spans="2:16" ht="82.2" customHeight="1" x14ac:dyDescent="0.7">
      <c r="B118" s="44" t="s">
        <v>1719</v>
      </c>
      <c r="C118" s="1352"/>
      <c r="D118" s="13">
        <f>+'Desarrollo Economico'!I107</f>
        <v>9.2844103687477184E-2</v>
      </c>
      <c r="E118" s="13">
        <f>+'Desarrollo Economico'!J107</f>
        <v>0.32959369947321754</v>
      </c>
      <c r="F118" s="13">
        <f t="shared" si="15"/>
        <v>0.48377405726803313</v>
      </c>
      <c r="G118" s="13">
        <f>+'Desarrollo Economico'!K107</f>
        <v>6.5989047097480838E-2</v>
      </c>
      <c r="H118" s="13">
        <f>+'Desarrollo Economico'!L107</f>
        <v>0.26533698430083974</v>
      </c>
      <c r="I118" s="13">
        <f>+'Desarrollo Economico'!V107</f>
        <v>0.8</v>
      </c>
      <c r="J118" s="13">
        <f>+'Desarrollo Economico'!Y107</f>
        <v>0.15418035779481562</v>
      </c>
      <c r="K118" s="13">
        <f>+'Desarrollo Economico'!Z107</f>
        <v>0.40181939880735063</v>
      </c>
      <c r="L118" s="45">
        <f>+'Desarrollo Economico'!AA107</f>
        <v>5.2880175246440314E-2</v>
      </c>
      <c r="M118" s="45">
        <f>+'Desarrollo Economico'!AB107</f>
        <v>0.42956188389923333</v>
      </c>
      <c r="N118" s="37"/>
      <c r="O118" s="10"/>
      <c r="P118" s="102"/>
    </row>
    <row r="119" spans="2:16" ht="36" customHeight="1" x14ac:dyDescent="0.7">
      <c r="B119" s="44" t="s">
        <v>1720</v>
      </c>
      <c r="C119" s="1352"/>
      <c r="D119" s="13">
        <f>+'Desarrollo Economico'!I117</f>
        <v>0.25</v>
      </c>
      <c r="E119" s="13">
        <f>+'Desarrollo Economico'!J117</f>
        <v>0.55000000000000004</v>
      </c>
      <c r="F119" s="13">
        <f t="shared" si="15"/>
        <v>0.8</v>
      </c>
      <c r="G119" s="13">
        <f>+'Desarrollo Economico'!K117</f>
        <v>3.7499999999999999E-2</v>
      </c>
      <c r="H119" s="13">
        <f>+'Desarrollo Economico'!L117</f>
        <v>0.41250000000000003</v>
      </c>
      <c r="I119" s="13">
        <f>+'Desarrollo Economico'!V117</f>
        <v>0.54999999999999993</v>
      </c>
      <c r="J119" s="13">
        <f>+'Desarrollo Economico'!Y117</f>
        <v>0.25</v>
      </c>
      <c r="K119" s="13">
        <f>+'Desarrollo Economico'!Z117</f>
        <v>0.35833333333333334</v>
      </c>
      <c r="L119" s="45">
        <f>+'Desarrollo Economico'!AA117</f>
        <v>1.125E-2</v>
      </c>
      <c r="M119" s="45">
        <f>+'Desarrollo Economico'!AB117</f>
        <v>0.40749999999999997</v>
      </c>
      <c r="N119" s="37"/>
      <c r="O119" s="10"/>
      <c r="P119" s="102"/>
    </row>
    <row r="120" spans="2:16" ht="49.8" x14ac:dyDescent="0.7">
      <c r="B120" s="42" t="str">
        <f>+'Desarrollo Economico'!B124:B124</f>
        <v xml:space="preserve">Sistema Integral de Abastecimiento del Distrito
</v>
      </c>
      <c r="C120" s="1352"/>
      <c r="D120" s="33">
        <f t="shared" ref="D120:G120" si="32">+(D121+D122)/2</f>
        <v>0.3833333333333333</v>
      </c>
      <c r="E120" s="33">
        <f t="shared" si="32"/>
        <v>0.20555555555555555</v>
      </c>
      <c r="F120" s="33">
        <f t="shared" si="15"/>
        <v>0.45232222222222218</v>
      </c>
      <c r="G120" s="34">
        <f t="shared" si="32"/>
        <v>0.1958333333333333</v>
      </c>
      <c r="H120" s="34">
        <f t="shared" ref="H120:I120" si="33">+(H121+H122)/2</f>
        <v>0.1958333333333333</v>
      </c>
      <c r="I120" s="34">
        <f t="shared" si="33"/>
        <v>0.71499999999999997</v>
      </c>
      <c r="J120" s="33">
        <f>+(J121+J122)/2</f>
        <v>0.24676666666666666</v>
      </c>
      <c r="K120" s="33">
        <f>+(K121+K122)/2</f>
        <v>0.35954444444444444</v>
      </c>
      <c r="L120" s="43">
        <f>+(L121+L122)</f>
        <v>0.19011249999999999</v>
      </c>
      <c r="M120" s="43">
        <f>+'Desarrollo Economico'!AB124</f>
        <v>0.33761249999999998</v>
      </c>
      <c r="N120" s="37"/>
      <c r="O120" s="10"/>
      <c r="P120" s="102"/>
    </row>
    <row r="121" spans="2:16" ht="66" customHeight="1" x14ac:dyDescent="0.7">
      <c r="B121" s="44" t="s">
        <v>1721</v>
      </c>
      <c r="C121" s="1352"/>
      <c r="D121" s="13">
        <f>+'Desarrollo Economico'!I125</f>
        <v>0.33333333333333331</v>
      </c>
      <c r="E121" s="13">
        <f>+'Desarrollo Economico'!J125</f>
        <v>0.1111111111111111</v>
      </c>
      <c r="F121" s="13">
        <f t="shared" si="15"/>
        <v>0.21111111111111108</v>
      </c>
      <c r="G121" s="13">
        <f>+'Desarrollo Economico'!K125</f>
        <v>0.16666666666666666</v>
      </c>
      <c r="H121" s="13">
        <f>+'Desarrollo Economico'!L125</f>
        <v>0.16666666666666666</v>
      </c>
      <c r="I121" s="13">
        <f>+'Desarrollo Economico'!V125</f>
        <v>0.43</v>
      </c>
      <c r="J121" s="13">
        <f>+'Desarrollo Economico'!Y125</f>
        <v>9.9999999999999992E-2</v>
      </c>
      <c r="K121" s="13">
        <f>+'Desarrollo Economico'!Z125</f>
        <v>0.15888888888888889</v>
      </c>
      <c r="L121" s="45">
        <f>+'Desarrollo Economico'!AA125</f>
        <v>0.125</v>
      </c>
      <c r="M121" s="45">
        <f>+'Desarrollo Economico'!AB125</f>
        <v>0.23833333333333331</v>
      </c>
      <c r="N121" s="37"/>
      <c r="O121" s="10"/>
      <c r="P121" s="102"/>
    </row>
    <row r="122" spans="2:16" ht="46.95" customHeight="1" x14ac:dyDescent="0.7">
      <c r="B122" s="47" t="s">
        <v>1722</v>
      </c>
      <c r="C122" s="1353"/>
      <c r="D122" s="48">
        <f>+'Desarrollo Economico'!I129</f>
        <v>0.43333333333333335</v>
      </c>
      <c r="E122" s="48">
        <f>+'Desarrollo Economico'!J129</f>
        <v>0.3</v>
      </c>
      <c r="F122" s="48">
        <f t="shared" si="15"/>
        <v>0.69353333333333333</v>
      </c>
      <c r="G122" s="48">
        <f>+'Desarrollo Economico'!K129</f>
        <v>0.22499999999999998</v>
      </c>
      <c r="H122" s="48">
        <f>+'Desarrollo Economico'!L129</f>
        <v>0.22499999999999998</v>
      </c>
      <c r="I122" s="48">
        <f>+'Desarrollo Economico'!V129</f>
        <v>1</v>
      </c>
      <c r="J122" s="48">
        <f>+'Desarrollo Economico'!Y129</f>
        <v>0.39353333333333335</v>
      </c>
      <c r="K122" s="48">
        <f>+'Desarrollo Economico'!Z129</f>
        <v>0.56020000000000003</v>
      </c>
      <c r="L122" s="49">
        <f>+'Desarrollo Economico'!AA129</f>
        <v>6.511249999999999E-2</v>
      </c>
      <c r="M122" s="49">
        <f>+'Desarrollo Economico'!AB129</f>
        <v>0.63544999999999996</v>
      </c>
      <c r="N122" s="37"/>
      <c r="O122" s="10"/>
      <c r="P122" s="102"/>
    </row>
    <row r="123" spans="2:16" ht="120" customHeight="1" x14ac:dyDescent="0.7">
      <c r="B123" s="39" t="str">
        <f>+'Ciudad Conectada'!B3:B3</f>
        <v xml:space="preserve">CARTAGENA CIUDAD CONECTADA Y SOSTENIBLE
</v>
      </c>
      <c r="C123" s="1351">
        <v>0.25</v>
      </c>
      <c r="D123" s="40">
        <f>+'Ciudad Conectada'!I3</f>
        <v>0.22385775913845282</v>
      </c>
      <c r="E123" s="40">
        <f>+'Ciudad Conectada'!J3</f>
        <v>0.23066712604683681</v>
      </c>
      <c r="F123" s="40">
        <f t="shared" si="15"/>
        <v>0.45219100013434554</v>
      </c>
      <c r="G123" s="40">
        <f>+'Ciudad Conectada'!K3</f>
        <v>0.19844971717901827</v>
      </c>
      <c r="H123" s="40">
        <f>+'Ciudad Conectada'!L3</f>
        <v>0.20087091613383856</v>
      </c>
      <c r="I123" s="40">
        <f>+'Ciudad Conectada'!V3</f>
        <v>0.83345436158257791</v>
      </c>
      <c r="J123" s="40">
        <f>+'Ciudad Conectada'!Y3</f>
        <v>0.22152387408750876</v>
      </c>
      <c r="K123" s="40">
        <f>+'Ciudad Conectada'!Z3</f>
        <v>0.48114752787939219</v>
      </c>
      <c r="L123" s="41">
        <f>+'Ciudad Conectada'!AA3</f>
        <v>0.18576863791395756</v>
      </c>
      <c r="M123" s="41">
        <f>+'Ciudad Conectada'!AB3</f>
        <v>0.37052459010275579</v>
      </c>
      <c r="N123" s="37"/>
      <c r="O123" s="10"/>
      <c r="P123" s="102"/>
    </row>
    <row r="124" spans="2:16" ht="68.400000000000006" customHeight="1" x14ac:dyDescent="0.7">
      <c r="B124" s="42" t="str">
        <f>+'Ciudad Conectada'!B4:B4</f>
        <v xml:space="preserve"> Ordenamiento del Territorio y espacio público.
</v>
      </c>
      <c r="C124" s="1352"/>
      <c r="D124" s="33">
        <f t="shared" ref="D124:G124" si="34">+(D125+D126)/2</f>
        <v>0.17442942942942941</v>
      </c>
      <c r="E124" s="33">
        <f t="shared" si="34"/>
        <v>0.23004504504504508</v>
      </c>
      <c r="F124" s="33">
        <f t="shared" si="15"/>
        <v>0.46391147747747752</v>
      </c>
      <c r="G124" s="34">
        <f t="shared" si="34"/>
        <v>0.18726443243243246</v>
      </c>
      <c r="H124" s="34">
        <f t="shared" ref="H124:I124" si="35">+(H125+H126)/2</f>
        <v>0.24209005405405412</v>
      </c>
      <c r="I124" s="772">
        <f t="shared" si="35"/>
        <v>0.92518035426731082</v>
      </c>
      <c r="J124" s="133">
        <f>+(J125+J126)/2</f>
        <v>0.23386643243243244</v>
      </c>
      <c r="K124" s="133">
        <f>+(K125+K126)/2</f>
        <v>0.45684270833333329</v>
      </c>
      <c r="L124" s="43">
        <f>+(L125+L126)</f>
        <v>0.22782968756756758</v>
      </c>
      <c r="M124" s="43">
        <f>+'Ciudad Conectada'!AB4</f>
        <v>0.54951656666666659</v>
      </c>
      <c r="N124" s="37"/>
      <c r="O124" s="10"/>
      <c r="P124" s="102"/>
    </row>
    <row r="125" spans="2:16" ht="45.6" customHeight="1" x14ac:dyDescent="0.7">
      <c r="B125" s="44" t="s">
        <v>1723</v>
      </c>
      <c r="C125" s="1352"/>
      <c r="D125" s="13">
        <f>+'Ciudad Conectada'!I5</f>
        <v>0.21777777777777776</v>
      </c>
      <c r="E125" s="13">
        <f>+'Ciudad Conectada'!J5</f>
        <v>0.27000000000000007</v>
      </c>
      <c r="F125" s="13">
        <f t="shared" si="15"/>
        <v>0.49375000000000008</v>
      </c>
      <c r="G125" s="13">
        <f>+'Ciudad Conectada'!K5</f>
        <v>0.28966400000000003</v>
      </c>
      <c r="H125" s="13">
        <f>+'Ciudad Conectada'!L5</f>
        <v>0.31607200000000013</v>
      </c>
      <c r="I125" s="13">
        <f>+'Ciudad Conectada'!V5</f>
        <v>0.85036070853462165</v>
      </c>
      <c r="J125" s="13">
        <f>+'Ciudad Conectada'!Y5</f>
        <v>0.22375</v>
      </c>
      <c r="K125" s="13">
        <f>+'Ciudad Conectada'!Z5</f>
        <v>0.34278541666666668</v>
      </c>
      <c r="L125" s="45">
        <f>+'Ciudad Conectada'!AA5</f>
        <v>0.17677380000000001</v>
      </c>
      <c r="M125" s="45">
        <f>+'Ciudad Conectada'!AB5</f>
        <v>0.55102366666666669</v>
      </c>
      <c r="N125" s="37"/>
      <c r="O125" s="10"/>
      <c r="P125" s="102"/>
    </row>
    <row r="126" spans="2:16" ht="41.4" customHeight="1" x14ac:dyDescent="0.7">
      <c r="B126" s="44" t="s">
        <v>1724</v>
      </c>
      <c r="C126" s="1352"/>
      <c r="D126" s="13">
        <f>+'Ciudad Conectada'!I22</f>
        <v>0.13108108108108107</v>
      </c>
      <c r="E126" s="13">
        <f>+'Ciudad Conectada'!J22</f>
        <v>0.19009009009009006</v>
      </c>
      <c r="F126" s="13">
        <f t="shared" si="15"/>
        <v>0.4340729549549549</v>
      </c>
      <c r="G126" s="13">
        <f>+'Ciudad Conectada'!K22</f>
        <v>8.4864864864864872E-2</v>
      </c>
      <c r="H126" s="13">
        <f>+'Ciudad Conectada'!L22</f>
        <v>0.16810810810810811</v>
      </c>
      <c r="I126" s="13">
        <f>+'Ciudad Conectada'!V22</f>
        <v>1</v>
      </c>
      <c r="J126" s="13">
        <f>+'Ciudad Conectada'!Y22</f>
        <v>0.24398286486486487</v>
      </c>
      <c r="K126" s="13">
        <f>+'Ciudad Conectada'!Z22</f>
        <v>0.57089999999999996</v>
      </c>
      <c r="L126" s="45">
        <f>+'Ciudad Conectada'!AA22</f>
        <v>5.1055887567567564E-2</v>
      </c>
      <c r="M126" s="45">
        <f>+'Ciudad Conectada'!AB22</f>
        <v>0.54600000000000004</v>
      </c>
      <c r="N126" s="37"/>
      <c r="O126" s="10"/>
      <c r="P126" s="102"/>
    </row>
    <row r="127" spans="2:16" ht="87" customHeight="1" x14ac:dyDescent="0.7">
      <c r="B127" s="42" t="str">
        <f>+'Ciudad Conectada'!B26:B26</f>
        <v xml:space="preserve"> Control Urbanístico y Territorial
</v>
      </c>
      <c r="C127" s="1352"/>
      <c r="D127" s="33">
        <f t="shared" ref="D127:G127" si="36">+(D128+D129)/2</f>
        <v>0.15714285714285714</v>
      </c>
      <c r="E127" s="33">
        <f t="shared" si="36"/>
        <v>0.12238095238095237</v>
      </c>
      <c r="F127" s="33">
        <f t="shared" si="15"/>
        <v>0.28910714285714284</v>
      </c>
      <c r="G127" s="34">
        <f t="shared" si="36"/>
        <v>0.24285714285714285</v>
      </c>
      <c r="H127" s="34">
        <f t="shared" ref="H127:I127" si="37">+(H128+H129)/2</f>
        <v>0.20867857142857144</v>
      </c>
      <c r="I127" s="772">
        <f t="shared" si="37"/>
        <v>0.85</v>
      </c>
      <c r="J127" s="133">
        <f>+(J128+J129)/2</f>
        <v>0.16672619047619047</v>
      </c>
      <c r="K127" s="133">
        <f>+(K128+K129)/2</f>
        <v>0.40500089285714286</v>
      </c>
      <c r="L127" s="43">
        <f>+(L128+L129)</f>
        <v>0.31105357142857143</v>
      </c>
      <c r="M127" s="43">
        <f>+'Ciudad Conectada'!AB26</f>
        <v>0.4337455357142857</v>
      </c>
      <c r="N127" s="37"/>
      <c r="O127" s="10"/>
      <c r="P127" s="102"/>
    </row>
    <row r="128" spans="2:16" ht="45" customHeight="1" x14ac:dyDescent="0.7">
      <c r="B128" s="44" t="s">
        <v>1725</v>
      </c>
      <c r="C128" s="1352"/>
      <c r="D128" s="13">
        <f>+'Ciudad Conectada'!I27</f>
        <v>0.1</v>
      </c>
      <c r="E128" s="13">
        <f>+'Ciudad Conectada'!J27</f>
        <v>6.9999999999999993E-2</v>
      </c>
      <c r="F128" s="13">
        <f t="shared" si="15"/>
        <v>0.16999999999999998</v>
      </c>
      <c r="G128" s="13">
        <f>+'Ciudad Conectada'!K27</f>
        <v>0.375</v>
      </c>
      <c r="H128" s="13">
        <f>+'Ciudad Conectada'!L27</f>
        <v>0.28749999999999998</v>
      </c>
      <c r="I128" s="13">
        <f>+'Ciudad Conectada'!V27</f>
        <v>0.7</v>
      </c>
      <c r="J128" s="13">
        <f>+'Ciudad Conectada'!Y27</f>
        <v>0.1</v>
      </c>
      <c r="K128" s="13">
        <f>+'Ciudad Conectada'!Z27</f>
        <v>0.38</v>
      </c>
      <c r="L128" s="45">
        <f>+'Ciudad Conectada'!AA27</f>
        <v>0.28125</v>
      </c>
      <c r="M128" s="45">
        <f>+'Ciudad Conectada'!AB27</f>
        <v>0.46499999999999997</v>
      </c>
      <c r="N128" s="37"/>
      <c r="O128" s="10"/>
      <c r="P128" s="102"/>
    </row>
    <row r="129" spans="2:16" ht="46.2" customHeight="1" x14ac:dyDescent="0.7">
      <c r="B129" s="44" t="s">
        <v>1726</v>
      </c>
      <c r="C129" s="1352"/>
      <c r="D129" s="13">
        <f>+'Ciudad Conectada'!I33</f>
        <v>0.2142857142857143</v>
      </c>
      <c r="E129" s="13">
        <f>+'Ciudad Conectada'!J33</f>
        <v>0.17476190476190476</v>
      </c>
      <c r="F129" s="13">
        <f t="shared" si="15"/>
        <v>0.40821428571428575</v>
      </c>
      <c r="G129" s="13">
        <f>+'Ciudad Conectada'!K33</f>
        <v>0.11071428571428571</v>
      </c>
      <c r="H129" s="13">
        <f>+'Ciudad Conectada'!L33</f>
        <v>0.12985714285714287</v>
      </c>
      <c r="I129" s="13">
        <f>+'Ciudad Conectada'!V33</f>
        <v>1</v>
      </c>
      <c r="J129" s="13">
        <f>+'Ciudad Conectada'!Y33</f>
        <v>0.23345238095238097</v>
      </c>
      <c r="K129" s="13">
        <f>+'Ciudad Conectada'!Z33</f>
        <v>0.43000178571428571</v>
      </c>
      <c r="L129" s="45">
        <f>+'Ciudad Conectada'!AA33</f>
        <v>2.9803571428571429E-2</v>
      </c>
      <c r="M129" s="45">
        <f>+'Ciudad Conectada'!AB33</f>
        <v>0.33998214285714284</v>
      </c>
      <c r="N129" s="37"/>
      <c r="O129" s="10"/>
      <c r="P129" s="102"/>
    </row>
    <row r="130" spans="2:16" ht="55.95" customHeight="1" x14ac:dyDescent="0.7">
      <c r="B130" s="42" t="str">
        <f>+'Ciudad Conectada'!B37:B37</f>
        <v xml:space="preserve"> Cartagena Amigable con el Ambiente 
</v>
      </c>
      <c r="C130" s="1352"/>
      <c r="D130" s="33">
        <f t="shared" ref="D130:G130" si="38">+(D131+D132+D133+D134+D135)/5</f>
        <v>0.17888888888888888</v>
      </c>
      <c r="E130" s="33">
        <f>+(E131+E132+E133+E134+E135)/5</f>
        <v>0.28274305555555557</v>
      </c>
      <c r="F130" s="33">
        <f t="shared" si="15"/>
        <v>0.42034722222222226</v>
      </c>
      <c r="G130" s="34">
        <f t="shared" si="38"/>
        <v>0.13083333333333333</v>
      </c>
      <c r="H130" s="34">
        <f t="shared" ref="H130:I130" si="39">+(H131+H132+H133+H134+H135)/5</f>
        <v>0.19008333333333333</v>
      </c>
      <c r="I130" s="772">
        <f t="shared" si="39"/>
        <v>0.78964986740672216</v>
      </c>
      <c r="J130" s="133">
        <f>+(J131+J132+J133+J134+J135)/5</f>
        <v>0.13760416666666669</v>
      </c>
      <c r="K130" s="133">
        <f>+(K131+K132+K133+K134+K135)/5</f>
        <v>0.37340679841269842</v>
      </c>
      <c r="L130" s="43">
        <f>+(L131+L132+L133+L134+L135)</f>
        <v>8.7734791666666673E-2</v>
      </c>
      <c r="M130" s="43">
        <f>+'Ciudad Conectada'!AB37</f>
        <v>0.27470192500000001</v>
      </c>
      <c r="N130" s="37"/>
      <c r="O130" s="10"/>
      <c r="P130" s="102"/>
    </row>
    <row r="131" spans="2:16" ht="46.2" customHeight="1" x14ac:dyDescent="0.7">
      <c r="B131" s="44" t="s">
        <v>1727</v>
      </c>
      <c r="C131" s="1352"/>
      <c r="D131" s="13">
        <f>+'Ciudad Conectada'!I38</f>
        <v>0.23611111111111108</v>
      </c>
      <c r="E131" s="13">
        <f>+'Ciudad Conectada'!J38</f>
        <v>0.30260416666666662</v>
      </c>
      <c r="F131" s="13">
        <f t="shared" si="15"/>
        <v>0.42735833333333328</v>
      </c>
      <c r="G131" s="13">
        <f>+'Ciudad Conectada'!K38</f>
        <v>6.5833333333333327E-2</v>
      </c>
      <c r="H131" s="13">
        <f>+'Ciudad Conectada'!L38</f>
        <v>8.9583333333333334E-2</v>
      </c>
      <c r="I131" s="13">
        <f>+'Ciudad Conectada'!V38</f>
        <v>0.66946382978723407</v>
      </c>
      <c r="J131" s="13">
        <f>+'Ciudad Conectada'!Y38</f>
        <v>0.12475416666666667</v>
      </c>
      <c r="K131" s="13">
        <f>+'Ciudad Conectada'!Z38</f>
        <v>0.29423154761904763</v>
      </c>
      <c r="L131" s="45">
        <f>+'Ciudad Conectada'!AA38</f>
        <v>8.0881249999999998E-3</v>
      </c>
      <c r="M131" s="45">
        <f>+'Ciudad Conectada'!AB38</f>
        <v>0.17025750000000001</v>
      </c>
      <c r="N131" s="37"/>
      <c r="O131" s="10"/>
      <c r="P131" s="102"/>
    </row>
    <row r="132" spans="2:16" ht="34.200000000000003" customHeight="1" x14ac:dyDescent="0.7">
      <c r="B132" s="44" t="s">
        <v>1728</v>
      </c>
      <c r="C132" s="1352"/>
      <c r="D132" s="13">
        <f>+'Ciudad Conectada'!I46</f>
        <v>0.15833333333333333</v>
      </c>
      <c r="E132" s="13">
        <f>+'Ciudad Conectada'!J46</f>
        <v>0.33611111111111108</v>
      </c>
      <c r="F132" s="13">
        <f t="shared" ref="F132:F195" si="40">+J132+E132</f>
        <v>0.44104444444444441</v>
      </c>
      <c r="G132" s="13">
        <f>+'Ciudad Conectada'!K46</f>
        <v>0.15250000000000002</v>
      </c>
      <c r="H132" s="13">
        <f>+'Ciudad Conectada'!L46</f>
        <v>0.34083333333333338</v>
      </c>
      <c r="I132" s="13">
        <f>+'Ciudad Conectada'!V46</f>
        <v>0.69265217391304346</v>
      </c>
      <c r="J132" s="13">
        <f>+'Ciudad Conectada'!Y46</f>
        <v>0.10493333333333332</v>
      </c>
      <c r="K132" s="13">
        <f>+'Ciudad Conectada'!Z46</f>
        <v>0.3803111111111111</v>
      </c>
      <c r="L132" s="45">
        <f>+'Ciudad Conectada'!AA46</f>
        <v>2.3980000000000001E-2</v>
      </c>
      <c r="M132" s="45">
        <f>+'Ciudad Conectada'!AB46</f>
        <v>0.34674833333333333</v>
      </c>
      <c r="N132" s="37"/>
      <c r="O132" s="10"/>
      <c r="P132" s="102"/>
    </row>
    <row r="133" spans="2:16" ht="37.200000000000003" customHeight="1" x14ac:dyDescent="0.7">
      <c r="B133" s="44" t="s">
        <v>1729</v>
      </c>
      <c r="C133" s="1352"/>
      <c r="D133" s="13">
        <f>+'Ciudad Conectada'!I50</f>
        <v>0.125</v>
      </c>
      <c r="E133" s="13">
        <f>+'Ciudad Conectada'!J50</f>
        <v>0.22500000000000001</v>
      </c>
      <c r="F133" s="13">
        <f t="shared" si="40"/>
        <v>0.35</v>
      </c>
      <c r="G133" s="13">
        <f>+'Ciudad Conectada'!K50</f>
        <v>0.1</v>
      </c>
      <c r="H133" s="13">
        <f>+'Ciudad Conectada'!L50</f>
        <v>0.22</v>
      </c>
      <c r="I133" s="13">
        <f>+'Ciudad Conectada'!V50</f>
        <v>0.6</v>
      </c>
      <c r="J133" s="13">
        <f>+'Ciudad Conectada'!Y50</f>
        <v>0.125</v>
      </c>
      <c r="K133" s="13">
        <f>+'Ciudad Conectada'!Z50</f>
        <v>0.35</v>
      </c>
      <c r="L133" s="45">
        <f>+'Ciudad Conectada'!AA50</f>
        <v>1.4999999999999999E-2</v>
      </c>
      <c r="M133" s="45">
        <f>+'Ciudad Conectada'!AB50</f>
        <v>0.36</v>
      </c>
      <c r="N133" s="37"/>
      <c r="O133" s="10"/>
      <c r="P133" s="102"/>
    </row>
    <row r="134" spans="2:16" ht="31.2" customHeight="1" x14ac:dyDescent="0.7">
      <c r="B134" s="44" t="s">
        <v>1730</v>
      </c>
      <c r="C134" s="1352"/>
      <c r="D134" s="13">
        <f>+'Ciudad Conectada'!I53</f>
        <v>0.20833333333333334</v>
      </c>
      <c r="E134" s="13">
        <f>+'Ciudad Conectada'!J53</f>
        <v>0.25</v>
      </c>
      <c r="F134" s="13">
        <f t="shared" si="40"/>
        <v>0.5</v>
      </c>
      <c r="G134" s="13">
        <f>+'Ciudad Conectada'!K53</f>
        <v>0.20250000000000001</v>
      </c>
      <c r="H134" s="13">
        <f>+'Ciudad Conectada'!L53</f>
        <v>0.24</v>
      </c>
      <c r="I134" s="13">
        <f>+'Ciudad Conectada'!V53</f>
        <v>0.98613333333333342</v>
      </c>
      <c r="J134" s="13">
        <f>+'Ciudad Conectada'!Y53</f>
        <v>0.25</v>
      </c>
      <c r="K134" s="13">
        <f>+'Ciudad Conectada'!Z53</f>
        <v>0.62986666666666669</v>
      </c>
      <c r="L134" s="45">
        <f>+'Ciudad Conectada'!AA53</f>
        <v>2.4E-2</v>
      </c>
      <c r="M134" s="45">
        <f>+'Ciudad Conectada'!AB53</f>
        <v>0.57688000000000006</v>
      </c>
      <c r="N134" s="37"/>
      <c r="O134" s="10"/>
      <c r="P134" s="102"/>
    </row>
    <row r="135" spans="2:16" ht="49.95" customHeight="1" x14ac:dyDescent="0.7">
      <c r="B135" s="44" t="s">
        <v>1731</v>
      </c>
      <c r="C135" s="1352"/>
      <c r="D135" s="13">
        <f>+'Ciudad Conectada'!I57</f>
        <v>0.16666666666666666</v>
      </c>
      <c r="E135" s="13">
        <f>+'Ciudad Conectada'!J57</f>
        <v>0.3</v>
      </c>
      <c r="F135" s="13">
        <f t="shared" si="40"/>
        <v>0.3833333333333333</v>
      </c>
      <c r="G135" s="13">
        <f>+'Ciudad Conectada'!K57</f>
        <v>0.13333333333333333</v>
      </c>
      <c r="H135" s="13">
        <f>+'Ciudad Conectada'!L57</f>
        <v>0.06</v>
      </c>
      <c r="I135" s="13">
        <f>+'Ciudad Conectada'!V57</f>
        <v>1</v>
      </c>
      <c r="J135" s="13">
        <f>+'Ciudad Conectada'!Y57</f>
        <v>8.3333333333333329E-2</v>
      </c>
      <c r="K135" s="13">
        <f>+'Ciudad Conectada'!Z57</f>
        <v>0.21262466666666666</v>
      </c>
      <c r="L135" s="45">
        <f>+'Ciudad Conectada'!AA57</f>
        <v>1.6666666666666666E-2</v>
      </c>
      <c r="M135" s="45">
        <f>+'Ciudad Conectada'!AB57</f>
        <v>0.13504986666666668</v>
      </c>
      <c r="N135" s="37"/>
      <c r="O135" s="10"/>
      <c r="P135" s="102"/>
    </row>
    <row r="136" spans="2:16" ht="82.95" customHeight="1" x14ac:dyDescent="0.7">
      <c r="B136" s="42" t="str">
        <f>+'Ciudad Conectada'!B60:B60</f>
        <v xml:space="preserve"> Cartagena Adaptada al Clima y Resiliente a los Desastres
</v>
      </c>
      <c r="C136" s="1352"/>
      <c r="D136" s="33">
        <f t="shared" ref="D136:G136" si="41">+(D137+D138+D139+D140+D141+D142)/6</f>
        <v>0.25786840977058367</v>
      </c>
      <c r="E136" s="33">
        <f t="shared" si="41"/>
        <v>0.22714246502289981</v>
      </c>
      <c r="F136" s="33">
        <f t="shared" si="40"/>
        <v>0.57466101842657324</v>
      </c>
      <c r="G136" s="34">
        <f t="shared" si="41"/>
        <v>0.23061672626890017</v>
      </c>
      <c r="H136" s="34">
        <f t="shared" ref="H136:I136" si="42">+(H137+H138+H139+H140+H141+H142)/6</f>
        <v>0.22248337411380889</v>
      </c>
      <c r="I136" s="772">
        <f t="shared" si="42"/>
        <v>0.98029629629629633</v>
      </c>
      <c r="J136" s="11">
        <f>+(J137+J138+J139+J140+J141+J142)/6</f>
        <v>0.34751855340367338</v>
      </c>
      <c r="K136" s="11">
        <f>+(K137+K138+K139+K140+K141+K142)/6</f>
        <v>0.6222393044098441</v>
      </c>
      <c r="L136" s="43">
        <f>+(L137+L138+L139+L140+L141+L142)</f>
        <v>0.30808632226094745</v>
      </c>
      <c r="M136" s="43">
        <f>+'Ciudad Conectada'!AB60</f>
        <v>0.56432627484958808</v>
      </c>
      <c r="N136" s="37"/>
      <c r="O136" s="10"/>
      <c r="P136" s="102"/>
    </row>
    <row r="137" spans="2:16" ht="42" customHeight="1" x14ac:dyDescent="0.7">
      <c r="B137" s="44" t="s">
        <v>1732</v>
      </c>
      <c r="C137" s="1352"/>
      <c r="D137" s="13">
        <f>+'Ciudad Conectada'!I61</f>
        <v>0.33333333333333331</v>
      </c>
      <c r="E137" s="13">
        <f>+'Ciudad Conectada'!J61</f>
        <v>0.29166666666666663</v>
      </c>
      <c r="F137" s="13">
        <f t="shared" si="40"/>
        <v>0.59166666666666656</v>
      </c>
      <c r="G137" s="13">
        <f>+'Ciudad Conectada'!K61</f>
        <v>9.9999999999999992E-2</v>
      </c>
      <c r="H137" s="13">
        <f>+'Ciudad Conectada'!L61</f>
        <v>0.27499999999999997</v>
      </c>
      <c r="I137" s="13">
        <f>+'Ciudad Conectada'!V61</f>
        <v>1</v>
      </c>
      <c r="J137" s="13">
        <f>+'Ciudad Conectada'!Y61</f>
        <v>0.3</v>
      </c>
      <c r="K137" s="13">
        <f>+'Ciudad Conectada'!Z61</f>
        <v>0.59166666666666667</v>
      </c>
      <c r="L137" s="45">
        <f>+'Ciudad Conectada'!AA61</f>
        <v>8.9999999999999993E-3</v>
      </c>
      <c r="M137" s="45">
        <f>+'Ciudad Conectada'!AB61</f>
        <v>0.36499999999999999</v>
      </c>
      <c r="N137" s="37"/>
      <c r="O137" s="10"/>
      <c r="P137" s="102"/>
    </row>
    <row r="138" spans="2:16" ht="40.950000000000003" customHeight="1" x14ac:dyDescent="0.7">
      <c r="B138" s="44" t="s">
        <v>1733</v>
      </c>
      <c r="C138" s="1352"/>
      <c r="D138" s="13">
        <f>+'Ciudad Conectada'!I64</f>
        <v>0.23295454545454547</v>
      </c>
      <c r="E138" s="13">
        <f>+'Ciudad Conectada'!J64</f>
        <v>0.25568181818181818</v>
      </c>
      <c r="F138" s="13">
        <f t="shared" si="40"/>
        <v>0.57738636363636364</v>
      </c>
      <c r="G138" s="13">
        <f>+'Ciudad Conectada'!K64</f>
        <v>0.22954545454545455</v>
      </c>
      <c r="H138" s="13">
        <f>+'Ciudad Conectada'!L64</f>
        <v>0.25681818181818178</v>
      </c>
      <c r="I138" s="13">
        <f>+'Ciudad Conectada'!V64</f>
        <v>1</v>
      </c>
      <c r="J138" s="13">
        <f>+'Ciudad Conectada'!Y64</f>
        <v>0.32170454545454552</v>
      </c>
      <c r="K138" s="13">
        <f>+'Ciudad Conectada'!Z64</f>
        <v>0.67886363636363634</v>
      </c>
      <c r="L138" s="45">
        <f>+'Ciudad Conectada'!AA64</f>
        <v>4.8156818181818176E-2</v>
      </c>
      <c r="M138" s="45">
        <f>+'Ciudad Conectada'!AB64</f>
        <v>0.69763636363636361</v>
      </c>
      <c r="N138" s="37"/>
      <c r="O138" s="10"/>
      <c r="P138" s="102"/>
    </row>
    <row r="139" spans="2:16" ht="38.4" customHeight="1" x14ac:dyDescent="0.7">
      <c r="B139" s="44" t="s">
        <v>1734</v>
      </c>
      <c r="C139" s="1352"/>
      <c r="D139" s="13">
        <f>+'Ciudad Conectada'!I69</f>
        <v>0.26306543697848045</v>
      </c>
      <c r="E139" s="13">
        <f>+'Ciudad Conectada'!J69</f>
        <v>0.29907773386034253</v>
      </c>
      <c r="F139" s="13">
        <f t="shared" si="40"/>
        <v>0.68522178304786996</v>
      </c>
      <c r="G139" s="13">
        <f>+'Ciudad Conectada'!K69</f>
        <v>0.30629776021080368</v>
      </c>
      <c r="H139" s="13">
        <f>+'Ciudad Conectada'!L69</f>
        <v>0.31665349143610011</v>
      </c>
      <c r="I139" s="13">
        <f>+'Ciudad Conectada'!V69</f>
        <v>0.94444444444444453</v>
      </c>
      <c r="J139" s="13">
        <f>+'Ciudad Conectada'!Y69</f>
        <v>0.38614404918752743</v>
      </c>
      <c r="K139" s="13">
        <f>+'Ciudad Conectada'!Z69</f>
        <v>0.74396135265700469</v>
      </c>
      <c r="L139" s="45">
        <f>+'Ciudad Conectada'!AA69</f>
        <v>5.2982213438735173E-2</v>
      </c>
      <c r="M139" s="45">
        <f>+'Ciudad Conectada'!AB69</f>
        <v>0.68840579710144922</v>
      </c>
      <c r="N139" s="37"/>
      <c r="O139" s="10"/>
      <c r="P139" s="102"/>
    </row>
    <row r="140" spans="2:16" ht="37.200000000000003" customHeight="1" x14ac:dyDescent="0.7">
      <c r="B140" s="44" t="s">
        <v>1735</v>
      </c>
      <c r="C140" s="1352"/>
      <c r="D140" s="13">
        <f>+'Ciudad Conectada'!I73</f>
        <v>0.25</v>
      </c>
      <c r="E140" s="13">
        <f>+'Ciudad Conectada'!J73</f>
        <v>0.25</v>
      </c>
      <c r="F140" s="13">
        <f t="shared" si="40"/>
        <v>0.60297701149425298</v>
      </c>
      <c r="G140" s="13">
        <f>+'Ciudad Conectada'!K73</f>
        <v>0.25</v>
      </c>
      <c r="H140" s="13">
        <f>+'Ciudad Conectada'!L73</f>
        <v>0.25</v>
      </c>
      <c r="I140" s="13">
        <f>+'Ciudad Conectada'!V73</f>
        <v>0.93733333333333346</v>
      </c>
      <c r="J140" s="13">
        <f>+'Ciudad Conectada'!Y73</f>
        <v>0.35297701149425292</v>
      </c>
      <c r="K140" s="13">
        <f>+'Ciudad Conectada'!Z73</f>
        <v>0.72822988505747122</v>
      </c>
      <c r="L140" s="45">
        <f>+'Ciudad Conectada'!AA73</f>
        <v>5.4475862068965514E-2</v>
      </c>
      <c r="M140" s="45">
        <f>+'Ciudad Conectada'!AB73</f>
        <v>0.62520689655172412</v>
      </c>
      <c r="N140" s="37"/>
      <c r="O140" s="10"/>
      <c r="P140" s="102"/>
    </row>
    <row r="141" spans="2:16" ht="31.2" customHeight="1" x14ac:dyDescent="0.7">
      <c r="B141" s="44" t="s">
        <v>1736</v>
      </c>
      <c r="C141" s="1352"/>
      <c r="D141" s="13">
        <f>+'Ciudad Conectada'!I77</f>
        <v>0.14285714285714285</v>
      </c>
      <c r="E141" s="13">
        <f>+'Ciudad Conectada'!J77</f>
        <v>0.17142857142857143</v>
      </c>
      <c r="F141" s="13">
        <f t="shared" si="40"/>
        <v>0.2857142857142857</v>
      </c>
      <c r="G141" s="13">
        <f>+'Ciudad Conectada'!K77</f>
        <v>0.14285714285714285</v>
      </c>
      <c r="H141" s="13">
        <f>+'Ciudad Conectada'!L77</f>
        <v>0.17142857142857143</v>
      </c>
      <c r="I141" s="13">
        <f>+'Ciudad Conectada'!V77</f>
        <v>1</v>
      </c>
      <c r="J141" s="13">
        <f>+'Ciudad Conectada'!Y77</f>
        <v>0.1142857142857143</v>
      </c>
      <c r="K141" s="13">
        <f>+'Ciudad Conectada'!Z77</f>
        <v>0.2857142857142857</v>
      </c>
      <c r="L141" s="45">
        <f>+'Ciudad Conectada'!AA77</f>
        <v>2.8571428571428574E-2</v>
      </c>
      <c r="M141" s="45">
        <f>+'Ciudad Conectada'!AB77</f>
        <v>0.2857142857142857</v>
      </c>
      <c r="N141" s="37"/>
      <c r="O141" s="10"/>
      <c r="P141" s="102"/>
    </row>
    <row r="142" spans="2:16" ht="48.6" customHeight="1" x14ac:dyDescent="0.7">
      <c r="B142" s="44" t="s">
        <v>1737</v>
      </c>
      <c r="C142" s="1352"/>
      <c r="D142" s="13">
        <f>+'Ciudad Conectada'!I79</f>
        <v>0.32500000000000001</v>
      </c>
      <c r="E142" s="13">
        <f>+'Ciudad Conectada'!J79</f>
        <v>9.5000000000000001E-2</v>
      </c>
      <c r="F142" s="13">
        <f t="shared" si="40"/>
        <v>0.70499999999999996</v>
      </c>
      <c r="G142" s="13">
        <f>+'Ciudad Conectada'!K79</f>
        <v>0.35499999999999998</v>
      </c>
      <c r="H142" s="13">
        <f>+'Ciudad Conectada'!L79</f>
        <v>6.5000000000000002E-2</v>
      </c>
      <c r="I142" s="13">
        <f>+'Ciudad Conectada'!V79</f>
        <v>1</v>
      </c>
      <c r="J142" s="13">
        <f>+'Ciudad Conectada'!Y79</f>
        <v>0.61</v>
      </c>
      <c r="K142" s="13">
        <f>+'Ciudad Conectada'!Z79</f>
        <v>0.70499999999999996</v>
      </c>
      <c r="L142" s="45">
        <f>+'Ciudad Conectada'!AA79</f>
        <v>0.1149</v>
      </c>
      <c r="M142" s="45">
        <f>+'Ciudad Conectada'!AB79</f>
        <v>0.82299999999999995</v>
      </c>
      <c r="N142" s="37"/>
      <c r="O142" s="10"/>
      <c r="P142" s="102"/>
    </row>
    <row r="143" spans="2:16" ht="82.95" customHeight="1" x14ac:dyDescent="0.7">
      <c r="B143" s="42" t="str">
        <f>+'Ciudad Conectada'!B82:B82</f>
        <v xml:space="preserve">Ciudad Histórica y Patrimonial
</v>
      </c>
      <c r="C143" s="1352"/>
      <c r="D143" s="33">
        <f t="shared" ref="D143:G143" si="43">+(D144+D145+D146)/3</f>
        <v>0.23703703703703705</v>
      </c>
      <c r="E143" s="33">
        <f t="shared" si="43"/>
        <v>0.29888888888888893</v>
      </c>
      <c r="F143" s="33">
        <f t="shared" si="40"/>
        <v>0.45013730158730159</v>
      </c>
      <c r="G143" s="34">
        <f t="shared" si="43"/>
        <v>0.17777777777777778</v>
      </c>
      <c r="H143" s="34">
        <f t="shared" ref="H143:I143" si="44">+(H144+H145+H146)/3</f>
        <v>0.23291666666666666</v>
      </c>
      <c r="I143" s="772">
        <f t="shared" si="44"/>
        <v>0.71249002267573702</v>
      </c>
      <c r="J143" s="11">
        <f>+(J144+J145+J146)/3</f>
        <v>0.15124841269841269</v>
      </c>
      <c r="K143" s="11">
        <f>+(K144+K145+K146)/3</f>
        <v>0.33279166666666665</v>
      </c>
      <c r="L143" s="100">
        <f>+(L144+L145+L146)</f>
        <v>6.376682142857143E-2</v>
      </c>
      <c r="M143" s="100">
        <f>+'Ciudad Conectada'!AB82</f>
        <v>0.22288787500000001</v>
      </c>
      <c r="N143" s="37"/>
      <c r="O143" s="10"/>
      <c r="P143" s="102"/>
    </row>
    <row r="144" spans="2:16" ht="79.2" customHeight="1" x14ac:dyDescent="0.7">
      <c r="B144" s="44" t="s">
        <v>1738</v>
      </c>
      <c r="C144" s="1352"/>
      <c r="D144" s="13">
        <f>+'Ciudad Conectada'!I83</f>
        <v>0.21111111111111111</v>
      </c>
      <c r="E144" s="13">
        <f>+'Ciudad Conectada'!J83</f>
        <v>0.35500000000000004</v>
      </c>
      <c r="F144" s="13">
        <f t="shared" si="40"/>
        <v>0.43374523809523813</v>
      </c>
      <c r="G144" s="13">
        <f>+'Ciudad Conectada'!K83</f>
        <v>0.15833333333333333</v>
      </c>
      <c r="H144" s="13">
        <f>+'Ciudad Conectada'!L83</f>
        <v>0.23</v>
      </c>
      <c r="I144" s="13">
        <f>+'Ciudad Conectada'!V83</f>
        <v>0.65913673469387757</v>
      </c>
      <c r="J144" s="13">
        <f>+'Ciudad Conectada'!Y83</f>
        <v>7.874523809523809E-2</v>
      </c>
      <c r="K144" s="13">
        <f>+'Ciudad Conectada'!Z83</f>
        <v>0.22817499999999999</v>
      </c>
      <c r="L144" s="45">
        <f>+'Ciudad Conectada'!AA83</f>
        <v>2.6266821428571428E-2</v>
      </c>
      <c r="M144" s="45">
        <f>+'Ciudad Conectada'!AB83</f>
        <v>0.24641750000000001</v>
      </c>
      <c r="N144" s="37"/>
      <c r="O144" s="10"/>
      <c r="P144" s="102"/>
    </row>
    <row r="145" spans="2:16" ht="88.2" customHeight="1" x14ac:dyDescent="0.7">
      <c r="B145" s="44" t="s">
        <v>1739</v>
      </c>
      <c r="C145" s="1352"/>
      <c r="D145" s="13">
        <f>+'Ciudad Conectada'!I91</f>
        <v>0.25</v>
      </c>
      <c r="E145" s="13">
        <f>+'Ciudad Conectada'!J91</f>
        <v>0.29166666666666669</v>
      </c>
      <c r="F145" s="13">
        <f t="shared" si="40"/>
        <v>0.29166666666666669</v>
      </c>
      <c r="G145" s="13">
        <f>+'Ciudad Conectada'!K91</f>
        <v>0.125</v>
      </c>
      <c r="H145" s="13">
        <f>+'Ciudad Conectada'!L91</f>
        <v>0.21875</v>
      </c>
      <c r="I145" s="13">
        <f>+'Ciudad Conectada'!V91</f>
        <v>0.47833333333333333</v>
      </c>
      <c r="J145" s="13">
        <f>+'Ciudad Conectada'!Y91</f>
        <v>0</v>
      </c>
      <c r="K145" s="13">
        <f>+'Ciudad Conectada'!Z91</f>
        <v>0.1452</v>
      </c>
      <c r="L145" s="45">
        <f>+'Ciudad Conectada'!AA91</f>
        <v>0</v>
      </c>
      <c r="M145" s="45">
        <f>+'Ciudad Conectada'!AB91</f>
        <v>0.11</v>
      </c>
      <c r="N145" s="37"/>
      <c r="O145" s="10"/>
      <c r="P145" s="102"/>
    </row>
    <row r="146" spans="2:16" ht="53.4" customHeight="1" x14ac:dyDescent="0.7">
      <c r="B146" s="44" t="s">
        <v>1740</v>
      </c>
      <c r="C146" s="1352"/>
      <c r="D146" s="13">
        <f>+'Ciudad Conectada'!I95</f>
        <v>0.25</v>
      </c>
      <c r="E146" s="13">
        <f>+'Ciudad Conectada'!J95</f>
        <v>0.25</v>
      </c>
      <c r="F146" s="13">
        <f t="shared" si="40"/>
        <v>0.625</v>
      </c>
      <c r="G146" s="13">
        <f>+'Ciudad Conectada'!K95</f>
        <v>0.25</v>
      </c>
      <c r="H146" s="13">
        <f>+'Ciudad Conectada'!L95</f>
        <v>0.25</v>
      </c>
      <c r="I146" s="13">
        <f>+'Ciudad Conectada'!V95</f>
        <v>1</v>
      </c>
      <c r="J146" s="13">
        <f>+'Ciudad Conectada'!Y95</f>
        <v>0.375</v>
      </c>
      <c r="K146" s="13">
        <f>+'Ciudad Conectada'!Z95</f>
        <v>0.625</v>
      </c>
      <c r="L146" s="45">
        <f>+'Ciudad Conectada'!AA95</f>
        <v>3.7500000000000006E-2</v>
      </c>
      <c r="M146" s="45">
        <f>+'Ciudad Conectada'!AB95</f>
        <v>0.625</v>
      </c>
      <c r="N146" s="37"/>
      <c r="O146" s="10"/>
      <c r="P146" s="102"/>
    </row>
    <row r="147" spans="2:16" ht="104.4" customHeight="1" x14ac:dyDescent="0.7">
      <c r="B147" s="42" t="str">
        <f>+'Ciudad Conectada'!B97:B97</f>
        <v xml:space="preserve">Infraestructura, Movilidad Sostenible y Accesibilidad para Todos
</v>
      </c>
      <c r="C147" s="1352"/>
      <c r="D147" s="33">
        <f>+(D148+D149+D150+D151+D152)/4</f>
        <v>0.32233213614481815</v>
      </c>
      <c r="E147" s="33">
        <f>+(E148+E149+E150+E151+E152)/4</f>
        <v>0.32575564910040028</v>
      </c>
      <c r="F147" s="33">
        <f t="shared" si="40"/>
        <v>0.61280234536891931</v>
      </c>
      <c r="G147" s="34">
        <f>+(G148+G149+G150+G151+G152)/4</f>
        <v>0.24677777425020778</v>
      </c>
      <c r="H147" s="34">
        <f t="shared" ref="H147" si="45">+(H148+H149+H150+H151+H152)/4</f>
        <v>0.31408199614094051</v>
      </c>
      <c r="I147" s="772">
        <f>+(I148+I149+I150+I151+I152)/4</f>
        <v>0.97413734375382754</v>
      </c>
      <c r="J147" s="11">
        <f>+(J148+J149+J150+J151+J152)/4</f>
        <v>0.28704669626851897</v>
      </c>
      <c r="K147" s="11">
        <f>+(K148+K149+K150+K151+K152)/4</f>
        <v>0.63722474587285305</v>
      </c>
      <c r="L147" s="100">
        <f>+(L148+L149+L150+L151+L152)</f>
        <v>0.14970787104537839</v>
      </c>
      <c r="M147" s="100">
        <f>+'Ciudad Conectada'!AB97</f>
        <v>0.23815278753134994</v>
      </c>
      <c r="N147" s="37"/>
      <c r="O147" s="10"/>
      <c r="P147" s="102"/>
    </row>
    <row r="148" spans="2:16" ht="39.6" customHeight="1" x14ac:dyDescent="0.7">
      <c r="B148" s="44" t="s">
        <v>1741</v>
      </c>
      <c r="C148" s="1352"/>
      <c r="D148" s="13">
        <f>+'Ciudad Conectada'!I98</f>
        <v>0</v>
      </c>
      <c r="E148" s="13">
        <f>+'Ciudad Conectada'!J98</f>
        <v>0.2</v>
      </c>
      <c r="F148" s="13">
        <f t="shared" si="40"/>
        <v>0.2</v>
      </c>
      <c r="G148" s="13">
        <f>+'Ciudad Conectada'!K98</f>
        <v>0</v>
      </c>
      <c r="H148" s="13">
        <f>+'Ciudad Conectada'!L98</f>
        <v>0.2</v>
      </c>
      <c r="I148" s="13">
        <f>+'Ciudad Conectada'!V98</f>
        <v>0.5</v>
      </c>
      <c r="J148" s="13">
        <f>+'Ciudad Conectada'!Y98</f>
        <v>0</v>
      </c>
      <c r="K148" s="13">
        <f>+'Ciudad Conectada'!Z98</f>
        <v>0.1</v>
      </c>
      <c r="L148" s="45">
        <f>+'Ciudad Conectada'!AA98</f>
        <v>0</v>
      </c>
      <c r="M148" s="45">
        <f>+'Ciudad Conectada'!AB98</f>
        <v>0.1</v>
      </c>
      <c r="N148" s="37"/>
      <c r="O148" s="10"/>
      <c r="P148" s="102"/>
    </row>
    <row r="149" spans="2:16" ht="59.4" customHeight="1" x14ac:dyDescent="0.7">
      <c r="B149" s="44" t="s">
        <v>1742</v>
      </c>
      <c r="C149" s="1352"/>
      <c r="D149" s="13">
        <f>+'Ciudad Conectada'!I100</f>
        <v>0.1875</v>
      </c>
      <c r="E149" s="13">
        <f>+'Ciudad Conectada'!J100</f>
        <v>0.27083333333333331</v>
      </c>
      <c r="F149" s="13">
        <f t="shared" si="40"/>
        <v>0.52593869047619046</v>
      </c>
      <c r="G149" s="13">
        <f>+'Ciudad Conectada'!K100</f>
        <v>0.2</v>
      </c>
      <c r="H149" s="13">
        <f>+'Ciudad Conectada'!L100</f>
        <v>0.26666666666666666</v>
      </c>
      <c r="I149" s="13">
        <f>+'Ciudad Conectada'!V100</f>
        <v>1</v>
      </c>
      <c r="J149" s="13">
        <f>+'Ciudad Conectada'!Y100</f>
        <v>0.25510535714285715</v>
      </c>
      <c r="K149" s="13">
        <f>+'Ciudad Conectada'!Z100</f>
        <v>1</v>
      </c>
      <c r="L149" s="45">
        <f>+'Ciudad Conectada'!AA100</f>
        <v>5.427928571428571E-2</v>
      </c>
      <c r="M149" s="45">
        <f>+'Ciudad Conectada'!AB100</f>
        <v>1</v>
      </c>
      <c r="N149" s="37"/>
      <c r="O149" s="10"/>
      <c r="P149" s="102"/>
    </row>
    <row r="150" spans="2:16" ht="54.6" customHeight="1" x14ac:dyDescent="0.7">
      <c r="B150" s="44" t="s">
        <v>1743</v>
      </c>
      <c r="C150" s="1352"/>
      <c r="D150" s="13">
        <f>+'Ciudad Conectada'!I105</f>
        <v>0.25</v>
      </c>
      <c r="E150" s="13">
        <f>+'Ciudad Conectada'!J105</f>
        <v>0</v>
      </c>
      <c r="F150" s="13">
        <f t="shared" si="40"/>
        <v>0</v>
      </c>
      <c r="G150" s="13">
        <f>+'Ciudad Conectada'!K105</f>
        <v>0.25</v>
      </c>
      <c r="H150" s="13">
        <f>+'Ciudad Conectada'!L105</f>
        <v>0</v>
      </c>
      <c r="I150" s="13">
        <f>+'Ciudad Conectada'!V105</f>
        <v>0.97499999999999998</v>
      </c>
      <c r="J150" s="13">
        <f>+'Ciudad Conectada'!Y105</f>
        <v>0</v>
      </c>
      <c r="K150" s="13">
        <f>+'Ciudad Conectada'!Z105</f>
        <v>0.19499999999999998</v>
      </c>
      <c r="L150" s="45">
        <f>+'Ciudad Conectada'!AA105</f>
        <v>0</v>
      </c>
      <c r="M150" s="45">
        <f>+'Ciudad Conectada'!AB105</f>
        <v>0.26324999999999998</v>
      </c>
      <c r="N150" s="37"/>
      <c r="O150" s="10"/>
      <c r="P150" s="102"/>
    </row>
    <row r="151" spans="2:16" ht="53.4" customHeight="1" x14ac:dyDescent="0.7">
      <c r="B151" s="44" t="s">
        <v>1744</v>
      </c>
      <c r="C151" s="1352"/>
      <c r="D151" s="13">
        <f>+'Ciudad Conectada'!I109</f>
        <v>0.30482468088463477</v>
      </c>
      <c r="E151" s="13">
        <f>+'Ciudad Conectada'!J109</f>
        <v>0.4002361439382689</v>
      </c>
      <c r="F151" s="13">
        <f t="shared" si="40"/>
        <v>0.69709385145641589</v>
      </c>
      <c r="G151" s="13">
        <f>+'Ciudad Conectada'!K109</f>
        <v>0.23385974470770779</v>
      </c>
      <c r="H151" s="13">
        <f>+'Ciudad Conectada'!L109</f>
        <v>0.3918847583320958</v>
      </c>
      <c r="I151" s="13">
        <f>+'Ciudad Conectada'!V109</f>
        <v>0.73092473296424987</v>
      </c>
      <c r="J151" s="13">
        <f>+'Ciudad Conectada'!Y109</f>
        <v>0.296857707518147</v>
      </c>
      <c r="K151" s="13">
        <f>+'Ciudad Conectada'!Z109</f>
        <v>0.56493453358717383</v>
      </c>
      <c r="L151" s="45">
        <f>+'Ciudad Conectada'!AA109</f>
        <v>3.3372924902177636E-2</v>
      </c>
      <c r="M151" s="45">
        <f>+'Ciudad Conectada'!AB109</f>
        <v>0.57192798694589131</v>
      </c>
      <c r="N151" s="37"/>
      <c r="O151" s="10"/>
      <c r="P151" s="102"/>
    </row>
    <row r="152" spans="2:16" ht="36.6" customHeight="1" x14ac:dyDescent="0.7">
      <c r="B152" s="44" t="s">
        <v>1745</v>
      </c>
      <c r="C152" s="1352"/>
      <c r="D152" s="13">
        <f>+'Ciudad Conectada'!I121</f>
        <v>0.54700386369463794</v>
      </c>
      <c r="E152" s="13">
        <f>+'Ciudad Conectada'!J121</f>
        <v>0.43195311912999895</v>
      </c>
      <c r="F152" s="13">
        <v>1</v>
      </c>
      <c r="G152" s="13">
        <f>+'Ciudad Conectada'!K121</f>
        <v>0.30325135229312328</v>
      </c>
      <c r="H152" s="13">
        <f>+'Ciudad Conectada'!L121</f>
        <v>0.39777655956499952</v>
      </c>
      <c r="I152" s="13">
        <f>+'Ciudad Conectada'!V121</f>
        <v>0.69062464205106044</v>
      </c>
      <c r="J152" s="13">
        <f>+'Ciudad Conectada'!Y121</f>
        <v>0.59622372041307181</v>
      </c>
      <c r="K152" s="13">
        <f>+'Ciudad Conectada'!Z121</f>
        <v>0.68896444990423822</v>
      </c>
      <c r="L152" s="45">
        <f>+'Ciudad Conectada'!AA121</f>
        <v>6.2055660428915041E-2</v>
      </c>
      <c r="M152" s="45">
        <f>+'Ciudad Conectada'!AB121</f>
        <v>0.57233044744733119</v>
      </c>
      <c r="N152" s="37"/>
      <c r="O152" s="10"/>
      <c r="P152" s="102"/>
    </row>
    <row r="153" spans="2:16" ht="49.8" x14ac:dyDescent="0.7">
      <c r="B153" s="42" t="str">
        <f>+'Ciudad Conectada'!B135:B135</f>
        <v xml:space="preserve">Cartagena Ordenada Alrededor del Agua
</v>
      </c>
      <c r="C153" s="1352"/>
      <c r="D153" s="33">
        <f t="shared" ref="D153:G153" si="46">+(D154+D155+D156+D157+D158)/4</f>
        <v>0.23930555555555558</v>
      </c>
      <c r="E153" s="33">
        <f t="shared" si="46"/>
        <v>0.2396428571428571</v>
      </c>
      <c r="F153" s="33">
        <f t="shared" si="40"/>
        <v>0.46629952380952377</v>
      </c>
      <c r="G153" s="34">
        <f t="shared" si="46"/>
        <v>0.17302083333333335</v>
      </c>
      <c r="H153" s="34">
        <f t="shared" ref="H153:I153" si="47">+(H154+H155+H156+H157+H158)/4</f>
        <v>0.24579166666666666</v>
      </c>
      <c r="I153" s="772">
        <f t="shared" si="47"/>
        <v>0.73070847701149422</v>
      </c>
      <c r="J153" s="11">
        <f>+(J154+J155+J156+J157+J158)/4</f>
        <v>0.22665666666666667</v>
      </c>
      <c r="K153" s="11">
        <f>+(K154+K155+K156+K157+K158)/4</f>
        <v>0.51947152777777772</v>
      </c>
      <c r="L153" s="100">
        <f>+(L154+L155+L156+L157+L158)</f>
        <v>0.15220140000000001</v>
      </c>
      <c r="M153" s="100">
        <f>+'Ciudad Conectada'!AB135</f>
        <v>0.42935424999999999</v>
      </c>
      <c r="N153" s="37"/>
      <c r="O153" s="10"/>
      <c r="P153" s="102"/>
    </row>
    <row r="154" spans="2:16" ht="32.4" customHeight="1" x14ac:dyDescent="0.7">
      <c r="B154" s="44" t="s">
        <v>1746</v>
      </c>
      <c r="C154" s="1352"/>
      <c r="D154" s="13">
        <f>+'Ciudad Conectada'!I136</f>
        <v>0.125</v>
      </c>
      <c r="E154" s="13">
        <f>+'Ciudad Conectada'!J136</f>
        <v>0.25</v>
      </c>
      <c r="F154" s="13">
        <f t="shared" si="40"/>
        <v>0.435</v>
      </c>
      <c r="G154" s="13">
        <f>+'Ciudad Conectada'!K136</f>
        <v>5.6250000000000001E-2</v>
      </c>
      <c r="H154" s="13">
        <f>+'Ciudad Conectada'!L136</f>
        <v>0.36249999999999999</v>
      </c>
      <c r="I154" s="13">
        <f>+'Ciudad Conectada'!V136</f>
        <v>0.17065000000000002</v>
      </c>
      <c r="J154" s="13">
        <f>+'Ciudad Conectada'!Y136</f>
        <v>0.185</v>
      </c>
      <c r="K154" s="13">
        <f>+'Ciudad Conectada'!Z136</f>
        <v>0.21344166666666667</v>
      </c>
      <c r="L154" s="45">
        <f>+'Ciudad Conectada'!AA136</f>
        <v>1.6650000000000002E-2</v>
      </c>
      <c r="M154" s="45">
        <f>+'Ciudad Conectada'!AB136</f>
        <v>0.12164625000000003</v>
      </c>
      <c r="N154" s="37"/>
      <c r="O154" s="10"/>
      <c r="P154" s="102"/>
    </row>
    <row r="155" spans="2:16" ht="31.95" customHeight="1" x14ac:dyDescent="0.7">
      <c r="B155" s="44" t="s">
        <v>1747</v>
      </c>
      <c r="C155" s="1352"/>
      <c r="D155" s="13">
        <f>+'Ciudad Conectada'!I140</f>
        <v>0.27</v>
      </c>
      <c r="E155" s="13">
        <f>+'Ciudad Conectada'!J140</f>
        <v>0.33333333333333331</v>
      </c>
      <c r="F155" s="13">
        <f t="shared" si="40"/>
        <v>0.53495999999999999</v>
      </c>
      <c r="G155" s="13">
        <f>+'Ciudad Conectada'!K140</f>
        <v>0.22900000000000001</v>
      </c>
      <c r="H155" s="13">
        <f>+'Ciudad Conectada'!L140</f>
        <v>0.26250000000000001</v>
      </c>
      <c r="I155" s="13">
        <f>+'Ciudad Conectada'!V140</f>
        <v>1</v>
      </c>
      <c r="J155" s="13">
        <f>+'Ciudad Conectada'!Y140</f>
        <v>0.2016266666666667</v>
      </c>
      <c r="K155" s="13">
        <f>+'Ciudad Conectada'!Z140</f>
        <v>1</v>
      </c>
      <c r="L155" s="45">
        <f>+'Ciudad Conectada'!AA140</f>
        <v>3.5951400000000001E-2</v>
      </c>
      <c r="M155" s="45">
        <f>+'Ciudad Conectada'!AB140</f>
        <v>1</v>
      </c>
      <c r="N155" s="37"/>
      <c r="O155" s="10"/>
      <c r="P155" s="102"/>
    </row>
    <row r="156" spans="2:16" ht="41.4" customHeight="1" x14ac:dyDescent="0.7">
      <c r="B156" s="44" t="s">
        <v>1748</v>
      </c>
      <c r="C156" s="1352"/>
      <c r="D156" s="13">
        <f>+'Ciudad Conectada'!I144</f>
        <v>0.42000000000000004</v>
      </c>
      <c r="E156" s="13">
        <f>+'Ciudad Conectada'!J144</f>
        <v>0.19</v>
      </c>
      <c r="F156" s="13">
        <f t="shared" si="40"/>
        <v>0.59000000000000008</v>
      </c>
      <c r="G156" s="13">
        <f>+'Ciudad Conectada'!K144</f>
        <v>0.30500000000000005</v>
      </c>
      <c r="H156" s="13">
        <f>+'Ciudad Conectada'!L144</f>
        <v>0.11000000000000001</v>
      </c>
      <c r="I156" s="13">
        <f>+'Ciudad Conectada'!V144</f>
        <v>0.91666666666666663</v>
      </c>
      <c r="J156" s="13">
        <f>+'Ciudad Conectada'!Y144</f>
        <v>0.4</v>
      </c>
      <c r="K156" s="13">
        <f>+'Ciudad Conectada'!Z144</f>
        <v>0.45</v>
      </c>
      <c r="L156" s="45">
        <f>+'Ciudad Conectada'!AA144</f>
        <v>7.1250000000000008E-2</v>
      </c>
      <c r="M156" s="45">
        <f>+'Ciudad Conectada'!AB144</f>
        <v>0.31250000000000006</v>
      </c>
      <c r="N156" s="37"/>
      <c r="O156" s="10"/>
      <c r="P156" s="102"/>
    </row>
    <row r="157" spans="2:16" ht="31.95" customHeight="1" x14ac:dyDescent="0.7">
      <c r="B157" s="44" t="s">
        <v>1749</v>
      </c>
      <c r="C157" s="1352"/>
      <c r="D157" s="13">
        <f>+'Ciudad Conectada'!I150</f>
        <v>0.14222222222222222</v>
      </c>
      <c r="E157" s="13">
        <f>+'Ciudad Conectada'!J150</f>
        <v>0.18523809523809523</v>
      </c>
      <c r="F157" s="13">
        <f t="shared" si="40"/>
        <v>0.30523809523809525</v>
      </c>
      <c r="G157" s="13">
        <f>+'Ciudad Conectada'!K150</f>
        <v>0.10183333333333333</v>
      </c>
      <c r="H157" s="13">
        <f>+'Ciudad Conectada'!L150</f>
        <v>0.24816666666666667</v>
      </c>
      <c r="I157" s="13">
        <f>+'Ciudad Conectada'!V150</f>
        <v>0.83551724137931027</v>
      </c>
      <c r="J157" s="13">
        <f>+'Ciudad Conectada'!Y150</f>
        <v>0.12000000000000001</v>
      </c>
      <c r="K157" s="13">
        <f>+'Ciudad Conectada'!Z150</f>
        <v>0.41444444444444439</v>
      </c>
      <c r="L157" s="45">
        <f>+'Ciudad Conectada'!AA150</f>
        <v>2.8350000000000004E-2</v>
      </c>
      <c r="M157" s="45">
        <f>+'Ciudad Conectada'!AB150</f>
        <v>0.58966666666666667</v>
      </c>
      <c r="N157" s="37"/>
      <c r="O157" s="10"/>
      <c r="P157" s="102"/>
    </row>
    <row r="158" spans="2:16" ht="67.95" customHeight="1" x14ac:dyDescent="0.7">
      <c r="B158" s="44" t="s">
        <v>1750</v>
      </c>
      <c r="C158" s="1352"/>
      <c r="D158" s="13">
        <f>+'Ciudad Conectada'!I159</f>
        <v>0</v>
      </c>
      <c r="E158" s="13">
        <f>+'Ciudad Conectada'!J159</f>
        <v>0</v>
      </c>
      <c r="F158" s="13">
        <f t="shared" si="40"/>
        <v>0</v>
      </c>
      <c r="G158" s="13">
        <f>+'Ciudad Conectada'!K159</f>
        <v>0</v>
      </c>
      <c r="H158" s="13">
        <f>+'Ciudad Conectada'!L159</f>
        <v>0</v>
      </c>
      <c r="I158" s="13">
        <f>+'Ciudad Conectada'!V159</f>
        <v>0</v>
      </c>
      <c r="J158" s="13"/>
      <c r="K158" s="13"/>
      <c r="L158" s="45">
        <f>+'Ciudad Conectada'!AA159</f>
        <v>0</v>
      </c>
      <c r="M158" s="45">
        <f>+'Ciudad Conectada'!AB159</f>
        <v>0</v>
      </c>
      <c r="N158" s="37"/>
      <c r="O158" s="10"/>
      <c r="P158" s="102"/>
    </row>
    <row r="159" spans="2:16" ht="49.8" x14ac:dyDescent="0.7">
      <c r="B159" s="42" t="str">
        <f>+'Ciudad Conectada'!B167:B167</f>
        <v xml:space="preserve"> Integración Regional y Metropolitana
</v>
      </c>
      <c r="C159" s="1352"/>
      <c r="D159" s="33">
        <f t="shared" ref="D159:I159" si="48">+(D160)/1</f>
        <v>0</v>
      </c>
      <c r="E159" s="33">
        <f>+(E160)/1</f>
        <v>0.16666666666666666</v>
      </c>
      <c r="F159" s="33">
        <f t="shared" si="40"/>
        <v>0.16666666666666666</v>
      </c>
      <c r="G159" s="34">
        <f t="shared" si="48"/>
        <v>0</v>
      </c>
      <c r="H159" s="34">
        <f t="shared" si="48"/>
        <v>0</v>
      </c>
      <c r="I159" s="772">
        <f t="shared" si="48"/>
        <v>0.90000000000000013</v>
      </c>
      <c r="J159" s="11">
        <f>+(J160)/1</f>
        <v>0</v>
      </c>
      <c r="K159" s="11">
        <f>+(K160)/1</f>
        <v>0.14850000000000002</v>
      </c>
      <c r="L159" s="100">
        <f>+(L160)</f>
        <v>0</v>
      </c>
      <c r="M159" s="100">
        <f>+'Ciudad Conectada'!AB167</f>
        <v>4.5000000000000014E-3</v>
      </c>
      <c r="N159" s="37"/>
      <c r="O159" s="10"/>
      <c r="P159" s="102"/>
    </row>
    <row r="160" spans="2:16" ht="54.6" customHeight="1" x14ac:dyDescent="0.7">
      <c r="B160" s="47" t="s">
        <v>1751</v>
      </c>
      <c r="C160" s="1353"/>
      <c r="D160" s="48">
        <f>+'Ciudad Conectada'!I168</f>
        <v>0</v>
      </c>
      <c r="E160" s="48">
        <f>+'Ciudad Conectada'!J168</f>
        <v>0.16666666666666666</v>
      </c>
      <c r="F160" s="48">
        <f t="shared" si="40"/>
        <v>0.16666666666666666</v>
      </c>
      <c r="G160" s="48">
        <f>+'Ciudad Conectada'!K168</f>
        <v>0</v>
      </c>
      <c r="H160" s="48">
        <f>+'Ciudad Conectada'!L168</f>
        <v>0</v>
      </c>
      <c r="I160" s="48">
        <f>+'Ciudad Conectada'!V168</f>
        <v>0.90000000000000013</v>
      </c>
      <c r="J160" s="48">
        <f>+'Ciudad Conectada'!Y168</f>
        <v>0</v>
      </c>
      <c r="K160" s="48">
        <f>+'Ciudad Conectada'!Z168</f>
        <v>0.14850000000000002</v>
      </c>
      <c r="L160" s="49">
        <f>+'Ciudad Conectada'!AA168</f>
        <v>0</v>
      </c>
      <c r="M160" s="49">
        <f>+'Ciudad Conectada'!AB168</f>
        <v>9.0000000000000024E-2</v>
      </c>
      <c r="N160" s="37"/>
      <c r="O160" s="10"/>
      <c r="P160" s="102"/>
    </row>
    <row r="161" spans="2:16" ht="120" customHeight="1" x14ac:dyDescent="0.7">
      <c r="B161" s="39" t="str">
        <f>+'Innovación Pública'!B3:B3</f>
        <v xml:space="preserve"> INNOVACIÓN PÚBLICA Y PARTICIPACIÓN CIUDADANA
</v>
      </c>
      <c r="C161" s="1354">
        <v>0.08</v>
      </c>
      <c r="D161" s="40">
        <f>+'Innovación Pública'!I3</f>
        <v>0.23222048675539217</v>
      </c>
      <c r="E161" s="40">
        <f>+'Innovación Pública'!J3</f>
        <v>0.28247799844447724</v>
      </c>
      <c r="F161" s="40">
        <f t="shared" si="40"/>
        <v>0.4993734663770556</v>
      </c>
      <c r="G161" s="40">
        <f>+'Innovación Pública'!K3</f>
        <v>0.21726216822485131</v>
      </c>
      <c r="H161" s="40">
        <f>+'Innovación Pública'!L3</f>
        <v>0.25962902970153884</v>
      </c>
      <c r="I161" s="40">
        <f>+'Innovación Pública'!V3</f>
        <v>0.88279501521466452</v>
      </c>
      <c r="J161" s="40">
        <f>+'Innovación Pública'!Y3</f>
        <v>0.21689546793257833</v>
      </c>
      <c r="K161" s="40">
        <f>+'Innovación Pública'!Z3</f>
        <v>0.54534437455673601</v>
      </c>
      <c r="L161" s="41">
        <f>+'Innovación Pública'!AA3</f>
        <v>0.19300125399793866</v>
      </c>
      <c r="M161" s="41">
        <f>+'Innovación Pública'!AB3</f>
        <v>0.50552782129594898</v>
      </c>
      <c r="N161" s="37"/>
      <c r="O161" s="10"/>
      <c r="P161" s="102"/>
    </row>
    <row r="162" spans="2:16" ht="87" customHeight="1" x14ac:dyDescent="0.7">
      <c r="B162" s="42" t="str">
        <f>+'Innovación Pública'!B4:B4</f>
        <v xml:space="preserve">Componente Impulsor del avance: Transparencia y Gobierno Abierto
</v>
      </c>
      <c r="C162" s="1349"/>
      <c r="D162" s="33">
        <f>+(D163+D164+D165)/2</f>
        <v>0.24124999999999999</v>
      </c>
      <c r="E162" s="33">
        <f>+(E163+E164+E165)/3</f>
        <v>0.23564814814814816</v>
      </c>
      <c r="F162" s="33">
        <f t="shared" si="40"/>
        <v>0.44564814814814813</v>
      </c>
      <c r="G162" s="34">
        <f>+(G163+G164+G165)/2</f>
        <v>0.24783333333333332</v>
      </c>
      <c r="H162" s="34">
        <f t="shared" ref="H162" si="49">+(H163+H164+H165)/2</f>
        <v>0.26858333333333329</v>
      </c>
      <c r="I162" s="772">
        <f>+(I163+I164+I165)/3</f>
        <v>0.77777777777777768</v>
      </c>
      <c r="J162" s="11">
        <f>+(J163+J164+J165)/2</f>
        <v>0.21</v>
      </c>
      <c r="K162" s="11">
        <f>+(K163+K164+K165)/3</f>
        <v>0.40580555555555553</v>
      </c>
      <c r="L162" s="34">
        <f>+(L163+L164+L165)</f>
        <v>0.15870000000000001</v>
      </c>
      <c r="M162" s="34">
        <f>+'Innovación Pública'!AB4</f>
        <v>0.41844000000000003</v>
      </c>
      <c r="N162" s="37"/>
      <c r="O162" s="10"/>
      <c r="P162" s="102"/>
    </row>
    <row r="163" spans="2:16" ht="60" customHeight="1" x14ac:dyDescent="0.7">
      <c r="B163" s="44" t="s">
        <v>1752</v>
      </c>
      <c r="C163" s="1349"/>
      <c r="D163" s="13">
        <f>+'Innovación Pública'!I5</f>
        <v>0</v>
      </c>
      <c r="E163" s="13">
        <f>+'Innovación Pública'!J5</f>
        <v>0.30444444444444446</v>
      </c>
      <c r="F163" s="13">
        <f t="shared" si="40"/>
        <v>0.30444444444444446</v>
      </c>
      <c r="G163" s="13">
        <f>+'Innovación Pública'!K5</f>
        <v>0</v>
      </c>
      <c r="H163" s="13">
        <f>+'Innovación Pública'!L5</f>
        <v>0.13749999999999998</v>
      </c>
      <c r="I163" s="13">
        <f>+'Innovación Pública'!V5</f>
        <v>0.33333333333333331</v>
      </c>
      <c r="J163" s="13">
        <f>+'Innovación Pública'!Y5</f>
        <v>0</v>
      </c>
      <c r="K163" s="13">
        <f>+'Innovación Pública'!Z5</f>
        <v>0.11549999999999999</v>
      </c>
      <c r="L163" s="45">
        <f>+'Innovación Pública'!AA5</f>
        <v>0</v>
      </c>
      <c r="M163" s="45">
        <f>+'Innovación Pública'!AB5</f>
        <v>0.12249999999999998</v>
      </c>
      <c r="N163" s="37"/>
      <c r="O163" s="10"/>
      <c r="P163" s="102"/>
    </row>
    <row r="164" spans="2:16" ht="44.4" customHeight="1" x14ac:dyDescent="0.7">
      <c r="B164" s="44" t="s">
        <v>1753</v>
      </c>
      <c r="C164" s="1349"/>
      <c r="D164" s="13">
        <f>+'Innovación Pública'!I9</f>
        <v>0.25</v>
      </c>
      <c r="E164" s="13">
        <f>+'Innovación Pública'!J9</f>
        <v>0.25</v>
      </c>
      <c r="F164" s="13">
        <f t="shared" si="40"/>
        <v>0.4375</v>
      </c>
      <c r="G164" s="13">
        <f>+'Innovación Pública'!K9</f>
        <v>0.25</v>
      </c>
      <c r="H164" s="13">
        <f>+'Innovación Pública'!L9</f>
        <v>0.25</v>
      </c>
      <c r="I164" s="13">
        <f>+'Innovación Pública'!V9</f>
        <v>1</v>
      </c>
      <c r="J164" s="13">
        <f>+'Innovación Pública'!Y9</f>
        <v>0.1875</v>
      </c>
      <c r="K164" s="13">
        <f>+'Innovación Pública'!Z9</f>
        <v>0.625</v>
      </c>
      <c r="L164" s="45">
        <f>+'Innovación Pública'!AA9</f>
        <v>8.5000000000000006E-2</v>
      </c>
      <c r="M164" s="45">
        <f>+'Innovación Pública'!AB9</f>
        <v>0.57499999999999996</v>
      </c>
      <c r="N164" s="37"/>
      <c r="O164" s="10"/>
      <c r="P164" s="102"/>
    </row>
    <row r="165" spans="2:16" ht="38.4" customHeight="1" x14ac:dyDescent="0.7">
      <c r="B165" s="44" t="s">
        <v>1754</v>
      </c>
      <c r="C165" s="1349"/>
      <c r="D165" s="13">
        <f>+'Innovación Pública'!I12</f>
        <v>0.23249999999999998</v>
      </c>
      <c r="E165" s="13">
        <f>+'Innovación Pública'!J12</f>
        <v>0.1525</v>
      </c>
      <c r="F165" s="13">
        <f t="shared" si="40"/>
        <v>0.38500000000000001</v>
      </c>
      <c r="G165" s="13">
        <f>+'Innovación Pública'!K12</f>
        <v>0.24566666666666664</v>
      </c>
      <c r="H165" s="13">
        <f>+'Innovación Pública'!L12</f>
        <v>0.14966666666666667</v>
      </c>
      <c r="I165" s="13">
        <f>+'Innovación Pública'!V12</f>
        <v>1</v>
      </c>
      <c r="J165" s="13">
        <f>+'Innovación Pública'!Y12</f>
        <v>0.23249999999999998</v>
      </c>
      <c r="K165" s="13">
        <f>+'Innovación Pública'!Z12</f>
        <v>0.47691666666666666</v>
      </c>
      <c r="L165" s="45">
        <f>+'Innovación Pública'!AA12</f>
        <v>7.3699999999999988E-2</v>
      </c>
      <c r="M165" s="45">
        <f>+'Innovación Pública'!AB12</f>
        <v>0.50563333333333338</v>
      </c>
      <c r="N165" s="37"/>
      <c r="O165" s="10"/>
      <c r="P165" s="102"/>
    </row>
    <row r="166" spans="2:16" ht="124.2" customHeight="1" x14ac:dyDescent="0.7">
      <c r="B166" s="42" t="str">
        <f>+'Innovación Pública'!B17:B17</f>
        <v xml:space="preserve">Fortalecimiento Institucional e Innovación Administrativa
</v>
      </c>
      <c r="C166" s="1349"/>
      <c r="D166" s="33">
        <f>+(D167+D168+D169+D170+D171+D172+D173+D174)/6</f>
        <v>0.19706348655814188</v>
      </c>
      <c r="E166" s="33">
        <f>+(E167+E168+E169+E170+E171+E172+E173+E174)/8</f>
        <v>0.26909331873479403</v>
      </c>
      <c r="F166" s="33">
        <f t="shared" si="40"/>
        <v>0.4688387775963947</v>
      </c>
      <c r="G166" s="34">
        <f>+(G167+G168+G169+G170+G171+G172+G173+G174)/6</f>
        <v>0.16739826874293517</v>
      </c>
      <c r="H166" s="34">
        <f t="shared" ref="H166" si="50">+(H167+H168+H169+H170+H171+H172+H173+H174)/6</f>
        <v>0.351193038594735</v>
      </c>
      <c r="I166" s="772">
        <f>+(I167+I168+I169+I170+I171+I172+I173+I174)/8</f>
        <v>0.8024011437908497</v>
      </c>
      <c r="J166" s="108">
        <f>+(J167+J168+J169+J170+J171+J172+J173+J174)/6</f>
        <v>0.19974545886160069</v>
      </c>
      <c r="K166" s="108">
        <f>+(K167+K168+K169+K170+K171+K172+K173+K174)/8</f>
        <v>0.46666914224150913</v>
      </c>
      <c r="L166" s="100">
        <f>+(L167+L168+L169+L170+L171+L172+L173+L174)</f>
        <v>0.14653217466808169</v>
      </c>
      <c r="M166" s="100">
        <f>+'Innovación Pública'!AB17</f>
        <v>0.52144215270407368</v>
      </c>
      <c r="N166" s="37"/>
      <c r="O166" s="10"/>
      <c r="P166" s="102"/>
    </row>
    <row r="167" spans="2:16" ht="57" customHeight="1" x14ac:dyDescent="0.7">
      <c r="B167" s="44" t="s">
        <v>1755</v>
      </c>
      <c r="C167" s="1349"/>
      <c r="D167" s="13">
        <f>+'Innovación Pública'!I18</f>
        <v>0.27777777777777773</v>
      </c>
      <c r="E167" s="13">
        <f>+'Innovación Pública'!J18</f>
        <v>0.29083333333333333</v>
      </c>
      <c r="F167" s="13">
        <f t="shared" si="40"/>
        <v>0.56861111111111107</v>
      </c>
      <c r="G167" s="13">
        <f>+'Innovación Pública'!K18</f>
        <v>0.27083333333333337</v>
      </c>
      <c r="H167" s="13">
        <f>+'Innovación Pública'!L18</f>
        <v>0.28733333333333333</v>
      </c>
      <c r="I167" s="13">
        <f>+'Innovación Pública'!V18</f>
        <v>0.98</v>
      </c>
      <c r="J167" s="13">
        <f>+'Innovación Pública'!Y18</f>
        <v>0.27777777777777773</v>
      </c>
      <c r="K167" s="13">
        <f>+'Innovación Pública'!Z18</f>
        <v>0.62817499999999993</v>
      </c>
      <c r="L167" s="45">
        <f>+'Innovación Pública'!AA18</f>
        <v>4.0625000000000001E-2</v>
      </c>
      <c r="M167" s="45">
        <f>+'Innovación Pública'!AB18</f>
        <v>0.70063500000000001</v>
      </c>
      <c r="N167" s="37"/>
      <c r="O167" s="10"/>
      <c r="P167" s="102"/>
    </row>
    <row r="168" spans="2:16" ht="40.200000000000003" customHeight="1" x14ac:dyDescent="0.7">
      <c r="B168" s="44" t="s">
        <v>1756</v>
      </c>
      <c r="C168" s="1349"/>
      <c r="D168" s="13">
        <f>+'Innovación Pública'!I23</f>
        <v>0.25</v>
      </c>
      <c r="E168" s="13">
        <f>+'Innovación Pública'!J23</f>
        <v>0.25</v>
      </c>
      <c r="F168" s="13">
        <f t="shared" si="40"/>
        <v>0.5</v>
      </c>
      <c r="G168" s="13">
        <f>+'Innovación Pública'!K23</f>
        <v>0.25</v>
      </c>
      <c r="H168" s="13">
        <f>+'Innovación Pública'!L23</f>
        <v>0.25</v>
      </c>
      <c r="I168" s="13">
        <f>+'Innovación Pública'!V23</f>
        <v>1</v>
      </c>
      <c r="J168" s="13">
        <f>+'Innovación Pública'!Y23</f>
        <v>0.25</v>
      </c>
      <c r="K168" s="13">
        <f>+'Innovación Pública'!Z23</f>
        <v>0.53749999999999998</v>
      </c>
      <c r="L168" s="45">
        <f>+'Innovación Pública'!AA23</f>
        <v>1.2500000000000001E-2</v>
      </c>
      <c r="M168" s="45">
        <f>+'Innovación Pública'!AB23</f>
        <v>0.55999999999999994</v>
      </c>
      <c r="N168" s="37"/>
      <c r="O168" s="10"/>
      <c r="P168" s="102"/>
    </row>
    <row r="169" spans="2:16" ht="46.95" customHeight="1" x14ac:dyDescent="0.7">
      <c r="B169" s="44" t="s">
        <v>1757</v>
      </c>
      <c r="C169" s="1349"/>
      <c r="D169" s="13">
        <f>+'Innovación Pública'!I26</f>
        <v>0.20186882933709449</v>
      </c>
      <c r="E169" s="13">
        <f>+'Innovación Pública'!J26</f>
        <v>0.27736248236953459</v>
      </c>
      <c r="F169" s="13">
        <f t="shared" si="40"/>
        <v>0.44984720263281619</v>
      </c>
      <c r="G169" s="13">
        <f>+'Innovación Pública'!K26</f>
        <v>0.17686882933709452</v>
      </c>
      <c r="H169" s="13">
        <f>+'Innovación Pública'!L26</f>
        <v>0.24104372355430184</v>
      </c>
      <c r="I169" s="13">
        <f>+'Innovación Pública'!V26</f>
        <v>1</v>
      </c>
      <c r="J169" s="13">
        <f>+'Innovación Pública'!Y26</f>
        <v>0.17248472026328163</v>
      </c>
      <c r="K169" s="13">
        <f>+'Innovación Pública'!Z26</f>
        <v>0.555892493339602</v>
      </c>
      <c r="L169" s="45">
        <f>+'Innovación Pública'!AA26</f>
        <v>2.9496944052656328E-2</v>
      </c>
      <c r="M169" s="45">
        <f>+'Innovación Pública'!AB26</f>
        <v>0.53483874000940301</v>
      </c>
      <c r="N169" s="37"/>
      <c r="O169" s="10"/>
      <c r="P169" s="102"/>
    </row>
    <row r="170" spans="2:16" ht="46.2" customHeight="1" x14ac:dyDescent="0.7">
      <c r="B170" s="44" t="s">
        <v>1758</v>
      </c>
      <c r="C170" s="1349"/>
      <c r="D170" s="13">
        <f>+'Innovación Pública'!I30</f>
        <v>0.06</v>
      </c>
      <c r="E170" s="13">
        <f>+'Innovación Pública'!J30</f>
        <v>0.06</v>
      </c>
      <c r="F170" s="13">
        <f t="shared" si="40"/>
        <v>0.21</v>
      </c>
      <c r="G170" s="13">
        <f>+'Innovación Pública'!K30</f>
        <v>0.06</v>
      </c>
      <c r="H170" s="13">
        <f>+'Innovación Pública'!L30</f>
        <v>0.06</v>
      </c>
      <c r="I170" s="13">
        <f>+'Innovación Pública'!V30</f>
        <v>1</v>
      </c>
      <c r="J170" s="13">
        <f>+'Innovación Pública'!Y30</f>
        <v>0.15</v>
      </c>
      <c r="K170" s="13">
        <f>+'Innovación Pública'!Z30</f>
        <v>0.62375999999999998</v>
      </c>
      <c r="L170" s="45">
        <f>+'Innovación Pública'!AA30</f>
        <v>4.4999999999999998E-2</v>
      </c>
      <c r="M170" s="45">
        <f>+'Innovación Pública'!AB30</f>
        <v>0.62375999999999998</v>
      </c>
      <c r="N170" s="37"/>
      <c r="O170" s="10"/>
      <c r="P170" s="102"/>
    </row>
    <row r="171" spans="2:16" ht="44.4" customHeight="1" x14ac:dyDescent="0.7">
      <c r="B171" s="44" t="s">
        <v>1759</v>
      </c>
      <c r="C171" s="1349"/>
      <c r="D171" s="13">
        <f>+'Innovación Pública'!I32</f>
        <v>0</v>
      </c>
      <c r="E171" s="13">
        <f>+'Innovación Pública'!J32</f>
        <v>0.76666666666666661</v>
      </c>
      <c r="F171" s="13">
        <f t="shared" si="40"/>
        <v>0.76666666666666661</v>
      </c>
      <c r="G171" s="13">
        <f>+'Innovación Pública'!K32</f>
        <v>0</v>
      </c>
      <c r="H171" s="13">
        <f>+'Innovación Pública'!L32</f>
        <v>0.72</v>
      </c>
      <c r="I171" s="13">
        <f>+'Innovación Pública'!V32</f>
        <v>0.66666666666666663</v>
      </c>
      <c r="J171" s="13">
        <f>+'Innovación Pública'!Y32</f>
        <v>0</v>
      </c>
      <c r="K171" s="13">
        <f>+'Innovación Pública'!Z32</f>
        <v>0.66666666666666663</v>
      </c>
      <c r="L171" s="45">
        <f>+'Innovación Pública'!AA32</f>
        <v>0</v>
      </c>
      <c r="M171" s="45">
        <f>+'Innovación Pública'!AB32</f>
        <v>0.6</v>
      </c>
      <c r="N171" s="37"/>
      <c r="O171" s="10"/>
      <c r="P171" s="102"/>
    </row>
    <row r="172" spans="2:16" ht="53.4" customHeight="1" x14ac:dyDescent="0.7">
      <c r="B172" s="44" t="s">
        <v>1760</v>
      </c>
      <c r="C172" s="1349"/>
      <c r="D172" s="13">
        <f>+'Innovación Pública'!I36</f>
        <v>0.22500000000000001</v>
      </c>
      <c r="E172" s="13">
        <f>+'Innovación Pública'!J36</f>
        <v>0.33</v>
      </c>
      <c r="F172" s="13">
        <f t="shared" si="40"/>
        <v>0.505</v>
      </c>
      <c r="G172" s="13">
        <f>+'Innovación Pública'!K36</f>
        <v>0.16250000000000001</v>
      </c>
      <c r="H172" s="13">
        <f>+'Innovación Pública'!L36</f>
        <v>0.34750000000000003</v>
      </c>
      <c r="I172" s="13">
        <f>+'Innovación Pública'!V36</f>
        <v>0.91176470588235292</v>
      </c>
      <c r="J172" s="13">
        <f>+'Innovación Pública'!Y36</f>
        <v>0.17499999999999999</v>
      </c>
      <c r="K172" s="13">
        <f>+'Innovación Pública'!Z36</f>
        <v>0.43</v>
      </c>
      <c r="L172" s="45">
        <f>+'Innovación Pública'!AA36</f>
        <v>5.6250000000000007E-3</v>
      </c>
      <c r="M172" s="45">
        <f>+'Innovación Pública'!AB36</f>
        <v>0.45749999999999996</v>
      </c>
      <c r="N172" s="37"/>
      <c r="O172" s="10"/>
      <c r="P172" s="102"/>
    </row>
    <row r="173" spans="2:16" ht="39" customHeight="1" x14ac:dyDescent="0.7">
      <c r="B173" s="44" t="s">
        <v>1761</v>
      </c>
      <c r="C173" s="1349"/>
      <c r="D173" s="13">
        <f>+'Innovación Pública'!I40</f>
        <v>0</v>
      </c>
      <c r="E173" s="13">
        <f>+'Innovación Pública'!J40</f>
        <v>0</v>
      </c>
      <c r="F173" s="13">
        <f t="shared" si="40"/>
        <v>0</v>
      </c>
      <c r="G173" s="13">
        <f>+'Innovación Pública'!K40</f>
        <v>0</v>
      </c>
      <c r="H173" s="13">
        <f>+'Innovación Pública'!L40</f>
        <v>0</v>
      </c>
      <c r="I173" s="13">
        <f>+'Innovación Pública'!V40</f>
        <v>0</v>
      </c>
      <c r="J173" s="13">
        <f>+'Innovación Pública'!Y40</f>
        <v>0</v>
      </c>
      <c r="K173" s="13">
        <f>+'Innovación Pública'!Z40</f>
        <v>0.05</v>
      </c>
      <c r="L173" s="45">
        <f>+'Innovación Pública'!AA40</f>
        <v>0</v>
      </c>
      <c r="M173" s="45">
        <f>+'Innovación Pública'!AB40</f>
        <v>0.05</v>
      </c>
      <c r="N173" s="37"/>
      <c r="O173" s="10"/>
      <c r="P173" s="102"/>
    </row>
    <row r="174" spans="2:16" ht="43.95" customHeight="1" x14ac:dyDescent="0.7">
      <c r="B174" s="44" t="s">
        <v>1762</v>
      </c>
      <c r="C174" s="1349"/>
      <c r="D174" s="13">
        <f>+'Innovación Pública'!I43</f>
        <v>0.16773431223397892</v>
      </c>
      <c r="E174" s="13">
        <f>+'Innovación Pública'!J43</f>
        <v>0.17788406750881749</v>
      </c>
      <c r="F174" s="13">
        <f t="shared" si="40"/>
        <v>0.35109432263736229</v>
      </c>
      <c r="G174" s="13">
        <f>+'Innovación Pública'!K43</f>
        <v>8.4187449787183122E-2</v>
      </c>
      <c r="H174" s="13">
        <f>+'Innovación Pública'!L43</f>
        <v>0.20128117468077469</v>
      </c>
      <c r="I174" s="13">
        <f>+'Innovación Pública'!V43</f>
        <v>0.86077777777777786</v>
      </c>
      <c r="J174" s="13">
        <f>+'Innovación Pública'!Y43</f>
        <v>0.17321025512854482</v>
      </c>
      <c r="K174" s="13">
        <f>+'Innovación Pública'!Z43</f>
        <v>0.24135897792580469</v>
      </c>
      <c r="L174" s="45">
        <f>+'Innovación Pública'!AA43</f>
        <v>1.3285230615425379E-2</v>
      </c>
      <c r="M174" s="45">
        <f>+'Innovación Pública'!AB43</f>
        <v>0.25917436468128752</v>
      </c>
      <c r="N174" s="37"/>
      <c r="O174" s="10"/>
      <c r="P174" s="102"/>
    </row>
    <row r="175" spans="2:16" ht="82.95" customHeight="1" x14ac:dyDescent="0.7">
      <c r="B175" s="42" t="str">
        <f>+'Innovación Pública'!B48:B48</f>
        <v xml:space="preserve"> Finanzas Públicas
</v>
      </c>
      <c r="C175" s="1349"/>
      <c r="D175" s="33">
        <f>+(D176+D177)</f>
        <v>0.22689134534516447</v>
      </c>
      <c r="E175" s="33">
        <f>+(E176+E177)/2</f>
        <v>0.2540275605253442</v>
      </c>
      <c r="F175" s="33">
        <f t="shared" si="40"/>
        <v>0.50982794224574346</v>
      </c>
      <c r="G175" s="34">
        <f t="shared" ref="G175:L175" si="51">+(G176+G177)</f>
        <v>0.22571301967260979</v>
      </c>
      <c r="H175" s="34">
        <f>+(H176+H177)/2</f>
        <v>0.25432469935214241</v>
      </c>
      <c r="I175" s="772">
        <f>+(I176+I177)/2</f>
        <v>0.97863502988969042</v>
      </c>
      <c r="J175" s="11">
        <f t="shared" si="51"/>
        <v>0.25580038172039926</v>
      </c>
      <c r="K175" s="11">
        <f>+(K176+K177)/2</f>
        <v>0.77712521124768763</v>
      </c>
      <c r="L175" s="100">
        <f t="shared" si="51"/>
        <v>0.22738216072471779</v>
      </c>
      <c r="M175" s="100">
        <f>+'Innovación Pública'!AB48</f>
        <v>0.53668886120066794</v>
      </c>
      <c r="N175" s="37"/>
      <c r="O175" s="10"/>
      <c r="P175" s="102"/>
    </row>
    <row r="176" spans="2:16" ht="44.4" customHeight="1" x14ac:dyDescent="0.7">
      <c r="B176" s="44" t="s">
        <v>1763</v>
      </c>
      <c r="C176" s="1349"/>
      <c r="D176" s="13">
        <f>+'Innovación Pública'!I49</f>
        <v>0.22689134534516447</v>
      </c>
      <c r="E176" s="13">
        <f>+'Innovación Pública'!J49</f>
        <v>0.2580551210506884</v>
      </c>
      <c r="F176" s="13">
        <f t="shared" si="40"/>
        <v>0.5138555027710876</v>
      </c>
      <c r="G176" s="13">
        <f>+'Innovación Pública'!K49</f>
        <v>0.22571301967260979</v>
      </c>
      <c r="H176" s="13">
        <f>+'Innovación Pública'!L49</f>
        <v>0.25864939870428477</v>
      </c>
      <c r="I176" s="13">
        <f>+'Innovación Pública'!V49</f>
        <v>0.95727005977938084</v>
      </c>
      <c r="J176" s="13">
        <f>+'Innovación Pública'!Y49</f>
        <v>0.25580038172039926</v>
      </c>
      <c r="K176" s="13">
        <f>+'Innovación Pública'!Z49</f>
        <v>0.55425042249537515</v>
      </c>
      <c r="L176" s="45">
        <f>+'Innovación Pública'!AA49</f>
        <v>0.22738216072471779</v>
      </c>
      <c r="M176" s="45">
        <f>+'Innovación Pública'!AB49</f>
        <v>0.51230406442175569</v>
      </c>
      <c r="N176" s="37"/>
      <c r="O176" s="10"/>
      <c r="P176" s="102"/>
    </row>
    <row r="177" spans="2:16" ht="31.2" customHeight="1" x14ac:dyDescent="0.7">
      <c r="B177" s="44" t="s">
        <v>1764</v>
      </c>
      <c r="C177" s="1349"/>
      <c r="D177" s="13">
        <f>+'Innovación Pública'!I55</f>
        <v>0</v>
      </c>
      <c r="E177" s="13">
        <f>+'Innovación Pública'!J55</f>
        <v>0.25</v>
      </c>
      <c r="F177" s="13">
        <f t="shared" si="40"/>
        <v>0.25</v>
      </c>
      <c r="G177" s="13">
        <f>+'Innovación Pública'!K55</f>
        <v>0</v>
      </c>
      <c r="H177" s="13">
        <f>+'Innovación Pública'!L55</f>
        <v>0.25</v>
      </c>
      <c r="I177" s="13">
        <f>+'Innovación Pública'!V55</f>
        <v>1</v>
      </c>
      <c r="J177" s="13">
        <f>+'Innovación Pública'!Y55</f>
        <v>0</v>
      </c>
      <c r="K177" s="13">
        <f>+'Innovación Pública'!Z55</f>
        <v>1</v>
      </c>
      <c r="L177" s="45">
        <f>+'Innovación Pública'!AA55</f>
        <v>0</v>
      </c>
      <c r="M177" s="45">
        <f>+'Innovación Pública'!AB55</f>
        <v>1</v>
      </c>
      <c r="N177" s="37"/>
      <c r="O177" s="10"/>
      <c r="P177" s="102"/>
    </row>
    <row r="178" spans="2:16" ht="76.95" customHeight="1" x14ac:dyDescent="0.7">
      <c r="B178" s="42" t="str">
        <f>+'Innovación Pública'!B57:B57</f>
        <v xml:space="preserve">Cultura Ciudadana
</v>
      </c>
      <c r="C178" s="1349"/>
      <c r="D178" s="33">
        <f t="shared" ref="D178:G178" si="52">+(D179+D180+D181+D182+D183)/5</f>
        <v>0.22780333900383748</v>
      </c>
      <c r="E178" s="33">
        <f t="shared" si="52"/>
        <v>0.28056602016325777</v>
      </c>
      <c r="F178" s="33">
        <f t="shared" si="40"/>
        <v>0.5349577019952263</v>
      </c>
      <c r="G178" s="34">
        <f t="shared" si="52"/>
        <v>0.22258316849309651</v>
      </c>
      <c r="H178" s="34">
        <f t="shared" ref="H178:I178" si="53">+(H179+H180+H181+H182+H183)/5</f>
        <v>0.27229331342063273</v>
      </c>
      <c r="I178" s="772">
        <f t="shared" si="53"/>
        <v>1</v>
      </c>
      <c r="J178" s="11">
        <f>+(J179+J180+J181+J182+J183)/5</f>
        <v>0.25439168183196847</v>
      </c>
      <c r="K178" s="11">
        <f>+(K179+K180+K181+K182+K183)/5</f>
        <v>0.52344420487663357</v>
      </c>
      <c r="L178" s="100">
        <f>+(L179+L180+L181+L182+L183)</f>
        <v>0.28719335759781622</v>
      </c>
      <c r="M178" s="100">
        <f>+'Innovación Pública'!AB57</f>
        <v>0.56904333649826588</v>
      </c>
      <c r="N178" s="37"/>
      <c r="O178" s="10"/>
      <c r="P178" s="102"/>
    </row>
    <row r="179" spans="2:16" ht="76.95" customHeight="1" x14ac:dyDescent="0.7">
      <c r="B179" s="44" t="s">
        <v>1765</v>
      </c>
      <c r="C179" s="1349"/>
      <c r="D179" s="13">
        <f>+'Innovación Pública'!I58</f>
        <v>0.24988626023657873</v>
      </c>
      <c r="E179" s="13">
        <f>+'Innovación Pública'!J58</f>
        <v>0.24988626023657873</v>
      </c>
      <c r="F179" s="13">
        <f t="shared" si="40"/>
        <v>0.63330300272975437</v>
      </c>
      <c r="G179" s="13">
        <f>+'Innovación Pública'!K58</f>
        <v>0.24981801637852596</v>
      </c>
      <c r="H179" s="13">
        <f>+'Innovación Pública'!L58</f>
        <v>0.24981801637852596</v>
      </c>
      <c r="I179" s="13">
        <f>+'Innovación Pública'!V58</f>
        <v>1</v>
      </c>
      <c r="J179" s="13">
        <f>+'Innovación Pública'!Y58</f>
        <v>0.38341674249317559</v>
      </c>
      <c r="K179" s="13">
        <f>+'Innovación Pública'!Z58</f>
        <v>0.6424021838034577</v>
      </c>
      <c r="L179" s="45">
        <f>+'Innovación Pública'!AA58</f>
        <v>9.2693357597816203E-2</v>
      </c>
      <c r="M179" s="45">
        <f>+'Innovación Pública'!AB58</f>
        <v>0.72784349408553239</v>
      </c>
      <c r="N179" s="37"/>
      <c r="O179" s="10"/>
      <c r="P179" s="102"/>
    </row>
    <row r="180" spans="2:16" ht="45" customHeight="1" x14ac:dyDescent="0.7">
      <c r="B180" s="44" t="s">
        <v>1766</v>
      </c>
      <c r="C180" s="1349"/>
      <c r="D180" s="13">
        <f>+'Innovación Pública'!I61</f>
        <v>0.15</v>
      </c>
      <c r="E180" s="13">
        <f>+'Innovación Pública'!J61</f>
        <v>0.29062500000000002</v>
      </c>
      <c r="F180" s="13">
        <f t="shared" si="40"/>
        <v>0.51249999999999996</v>
      </c>
      <c r="G180" s="13">
        <f>+'Innovación Pública'!K61</f>
        <v>0.19624999999999998</v>
      </c>
      <c r="H180" s="13">
        <f>+'Innovación Pública'!L61</f>
        <v>0.27124999999999999</v>
      </c>
      <c r="I180" s="13">
        <f>+'Innovación Pública'!V61</f>
        <v>1</v>
      </c>
      <c r="J180" s="13">
        <f>+'Innovación Pública'!Y61</f>
        <v>0.22187499999999999</v>
      </c>
      <c r="K180" s="13">
        <f>+'Innovación Pública'!Z61</f>
        <v>0.51249999999999996</v>
      </c>
      <c r="L180" s="45">
        <f>+'Innovación Pública'!AA61</f>
        <v>0.103875</v>
      </c>
      <c r="M180" s="45">
        <f>+'Innovación Pública'!AB61</f>
        <v>0.61749999999999994</v>
      </c>
      <c r="N180" s="37"/>
      <c r="O180" s="10"/>
      <c r="P180" s="102"/>
    </row>
    <row r="181" spans="2:16" ht="42" customHeight="1" x14ac:dyDescent="0.7">
      <c r="B181" s="44" t="s">
        <v>1767</v>
      </c>
      <c r="C181" s="1349"/>
      <c r="D181" s="13">
        <f>+'Innovación Pública'!I66</f>
        <v>0.25</v>
      </c>
      <c r="E181" s="13">
        <f>+'Innovación Pública'!J66</f>
        <v>0.25</v>
      </c>
      <c r="F181" s="13">
        <f t="shared" si="40"/>
        <v>0.5</v>
      </c>
      <c r="G181" s="13">
        <f>+'Innovación Pública'!K66</f>
        <v>0.25</v>
      </c>
      <c r="H181" s="13">
        <f>+'Innovación Pública'!L66</f>
        <v>0.25</v>
      </c>
      <c r="I181" s="13">
        <f>+'Innovación Pública'!V66</f>
        <v>1</v>
      </c>
      <c r="J181" s="13">
        <f>+'Innovación Pública'!Y66</f>
        <v>0.25</v>
      </c>
      <c r="K181" s="13">
        <f>+'Innovación Pública'!Z66</f>
        <v>0.5</v>
      </c>
      <c r="L181" s="45">
        <f>+'Innovación Pública'!AA66</f>
        <v>3.7499999999999999E-2</v>
      </c>
      <c r="M181" s="45">
        <f>+'Innovación Pública'!AB66</f>
        <v>0.5</v>
      </c>
      <c r="N181" s="37"/>
      <c r="O181" s="10"/>
      <c r="P181" s="102"/>
    </row>
    <row r="182" spans="2:16" ht="45.6" customHeight="1" x14ac:dyDescent="0.7">
      <c r="B182" s="44" t="s">
        <v>1768</v>
      </c>
      <c r="C182" s="1349"/>
      <c r="D182" s="13">
        <f>+'Innovación Pública'!I68</f>
        <v>0.23913043478260868</v>
      </c>
      <c r="E182" s="13">
        <f>+'Innovación Pública'!J68</f>
        <v>0.36231884057971014</v>
      </c>
      <c r="F182" s="13">
        <f t="shared" si="40"/>
        <v>0.52898550724637683</v>
      </c>
      <c r="G182" s="13">
        <f>+'Innovación Pública'!K68</f>
        <v>0.16684782608695653</v>
      </c>
      <c r="H182" s="13">
        <f>+'Innovación Pública'!L68</f>
        <v>0.34039855072463771</v>
      </c>
      <c r="I182" s="13">
        <f>+'Innovación Pública'!V68</f>
        <v>1</v>
      </c>
      <c r="J182" s="13">
        <f>+'Innovación Pública'!Y68</f>
        <v>0.16666666666666666</v>
      </c>
      <c r="K182" s="13">
        <f>+'Innovación Pública'!Z68</f>
        <v>0.46231884057971018</v>
      </c>
      <c r="L182" s="45">
        <f>+'Innovación Pública'!AA68</f>
        <v>2.8125000000000001E-2</v>
      </c>
      <c r="M182" s="45">
        <f>+'Innovación Pública'!AB68</f>
        <v>0.45289855072463769</v>
      </c>
      <c r="N182" s="37"/>
      <c r="O182" s="10"/>
      <c r="P182" s="102"/>
    </row>
    <row r="183" spans="2:16" ht="45.6" customHeight="1" x14ac:dyDescent="0.7">
      <c r="B183" s="44" t="s">
        <v>1769</v>
      </c>
      <c r="C183" s="1349"/>
      <c r="D183" s="13">
        <f>+'Innovación Pública'!I74</f>
        <v>0.25</v>
      </c>
      <c r="E183" s="13">
        <f>+'Innovación Pública'!J74</f>
        <v>0.25</v>
      </c>
      <c r="F183" s="13">
        <f t="shared" si="40"/>
        <v>0.5</v>
      </c>
      <c r="G183" s="13">
        <f>+'Innovación Pública'!K74</f>
        <v>0.25</v>
      </c>
      <c r="H183" s="13">
        <f>+'Innovación Pública'!L74</f>
        <v>0.25</v>
      </c>
      <c r="I183" s="13">
        <f>+'Innovación Pública'!V74</f>
        <v>1</v>
      </c>
      <c r="J183" s="13">
        <f>+'Innovación Pública'!Y74</f>
        <v>0.25</v>
      </c>
      <c r="K183" s="13">
        <f>+'Innovación Pública'!Z74</f>
        <v>0.5</v>
      </c>
      <c r="L183" s="45">
        <f>+'Innovación Pública'!AA74</f>
        <v>2.5000000000000001E-2</v>
      </c>
      <c r="M183" s="45">
        <f>+'Innovación Pública'!AB74</f>
        <v>0.5</v>
      </c>
      <c r="N183" s="37"/>
      <c r="O183" s="10"/>
      <c r="P183" s="102"/>
    </row>
    <row r="184" spans="2:16" ht="49.8" x14ac:dyDescent="0.7">
      <c r="B184" s="42" t="str">
        <f>+'Innovación Pública'!B77:B77</f>
        <v xml:space="preserve">Participación Ciudadana y Acción Comunal
</v>
      </c>
      <c r="C184" s="1349"/>
      <c r="D184" s="33">
        <f>+(D185+D186+D187+D188+D189+D190)/5</f>
        <v>0.25436567555113532</v>
      </c>
      <c r="E184" s="33">
        <f>+(E185+E186+E187+E188+E189+E190)/6</f>
        <v>0.31832393913396156</v>
      </c>
      <c r="F184" s="33">
        <f t="shared" si="40"/>
        <v>0.49043977987101872</v>
      </c>
      <c r="G184" s="34">
        <f>+(G185+G186+G187+G188+G189+G190)/5</f>
        <v>0.23789244132935511</v>
      </c>
      <c r="H184" s="34">
        <f t="shared" ref="H184" si="54">+(H185+H186+H187+H188+H189+H190)/5</f>
        <v>0.36095652093134517</v>
      </c>
      <c r="I184" s="772">
        <f>+(I185+I186+I187+I188+I189+I190)/6</f>
        <v>0.75171893939393941</v>
      </c>
      <c r="J184" s="11">
        <f>+(J185+J186+J187+J188+J189+J190)/6</f>
        <v>0.17211584073705719</v>
      </c>
      <c r="K184" s="11">
        <f>+(K185+K186+K187+K188+K189+K190)/6</f>
        <v>0.4683245805089773</v>
      </c>
      <c r="L184" s="100">
        <f>+(L185+L186+L187+L188+L189+L190)</f>
        <v>0.15231066433034965</v>
      </c>
      <c r="M184" s="848">
        <f>+'Innovación Pública'!AB77</f>
        <v>0.49669634354560488</v>
      </c>
      <c r="N184" s="37"/>
      <c r="O184" s="10"/>
      <c r="P184" s="102"/>
    </row>
    <row r="185" spans="2:16" ht="52.2" customHeight="1" x14ac:dyDescent="0.7">
      <c r="B185" s="44" t="s">
        <v>1770</v>
      </c>
      <c r="C185" s="1349"/>
      <c r="D185" s="13">
        <f>+'Innovación Pública'!I78</f>
        <v>0.35243948886678761</v>
      </c>
      <c r="E185" s="13">
        <f>+'Innovación Pública'!J78</f>
        <v>0.4932769681371027</v>
      </c>
      <c r="F185" s="13">
        <f t="shared" si="40"/>
        <v>0.82071645700389029</v>
      </c>
      <c r="G185" s="13">
        <f>+'Innovación Pública'!K78</f>
        <v>0.34219553998010876</v>
      </c>
      <c r="H185" s="13">
        <f>+'Innovación Pública'!L78</f>
        <v>0.53394927132339243</v>
      </c>
      <c r="I185" s="13">
        <f>+'Innovación Pública'!V78</f>
        <v>0.96969696969696972</v>
      </c>
      <c r="J185" s="13">
        <f>+'Innovación Pública'!Y78</f>
        <v>0.32743948886678759</v>
      </c>
      <c r="K185" s="13">
        <f>+'Innovación Pública'!Z78</f>
        <v>0.77629859416497471</v>
      </c>
      <c r="L185" s="45">
        <f>+'Innovación Pública'!AA78</f>
        <v>4.5704330997016318E-2</v>
      </c>
      <c r="M185" s="45">
        <f>+'Innovación Pública'!AB78</f>
        <v>0.78866873474847721</v>
      </c>
      <c r="N185" s="37"/>
      <c r="O185" s="10"/>
      <c r="P185" s="102"/>
    </row>
    <row r="186" spans="2:16" ht="55.95" customHeight="1" x14ac:dyDescent="0.7">
      <c r="B186" s="44" t="s">
        <v>1771</v>
      </c>
      <c r="C186" s="1349"/>
      <c r="D186" s="13">
        <f>+'Innovación Pública'!I85</f>
        <v>0.17916666666666664</v>
      </c>
      <c r="E186" s="13">
        <f>+'Innovación Pública'!J85</f>
        <v>0.23749999999999999</v>
      </c>
      <c r="F186" s="13">
        <f t="shared" si="40"/>
        <v>0.38749999999999996</v>
      </c>
      <c r="G186" s="13">
        <f>+'Innovación Pública'!K85</f>
        <v>0.14250000000000002</v>
      </c>
      <c r="H186" s="13">
        <f>+'Innovación Pública'!L85</f>
        <v>0.16</v>
      </c>
      <c r="I186" s="13">
        <f>+'Innovación Pública'!V85</f>
        <v>0.55000000000000004</v>
      </c>
      <c r="J186" s="13">
        <f>+'Innovación Pública'!Y85</f>
        <v>0.14999999999999997</v>
      </c>
      <c r="K186" s="13">
        <f>+'Innovación Pública'!Z85</f>
        <v>0.2558333333333333</v>
      </c>
      <c r="L186" s="45">
        <f>+'Innovación Pública'!AA85</f>
        <v>3.9E-2</v>
      </c>
      <c r="M186" s="45">
        <f>+'Innovación Pública'!AB85</f>
        <v>0.254</v>
      </c>
      <c r="N186" s="37"/>
      <c r="O186" s="10"/>
      <c r="P186" s="102"/>
    </row>
    <row r="187" spans="2:16" ht="43.2" customHeight="1" x14ac:dyDescent="0.7">
      <c r="B187" s="44" t="s">
        <v>1772</v>
      </c>
      <c r="C187" s="1349"/>
      <c r="D187" s="13">
        <f>+'Innovación Pública'!I92</f>
        <v>0</v>
      </c>
      <c r="E187" s="13">
        <f>+'Innovación Pública'!J92</f>
        <v>0</v>
      </c>
      <c r="F187" s="13">
        <f t="shared" si="40"/>
        <v>0</v>
      </c>
      <c r="G187" s="13">
        <f>+'Innovación Pública'!K92</f>
        <v>0</v>
      </c>
      <c r="H187" s="13">
        <f>+'Innovación Pública'!L92</f>
        <v>0</v>
      </c>
      <c r="I187" s="13">
        <f>+'Innovación Pública'!V92</f>
        <v>0</v>
      </c>
      <c r="J187" s="13">
        <f>+'Innovación Pública'!Y92</f>
        <v>0</v>
      </c>
      <c r="K187" s="13">
        <f>+'Innovación Pública'!Z92</f>
        <v>0</v>
      </c>
      <c r="L187" s="45">
        <f>+'Innovación Pública'!AA92</f>
        <v>0</v>
      </c>
      <c r="M187" s="45">
        <f>+'Innovación Pública'!AB92</f>
        <v>0</v>
      </c>
      <c r="N187" s="37"/>
      <c r="O187" s="10"/>
      <c r="P187" s="102"/>
    </row>
    <row r="188" spans="2:16" ht="37.200000000000003" customHeight="1" x14ac:dyDescent="0.7">
      <c r="B188" s="44" t="s">
        <v>1773</v>
      </c>
      <c r="C188" s="1349"/>
      <c r="D188" s="13">
        <f>+'Innovación Pública'!I94</f>
        <v>0.18466666666666667</v>
      </c>
      <c r="E188" s="13">
        <f>+'Innovación Pública'!J94</f>
        <v>0.29583333333333334</v>
      </c>
      <c r="F188" s="13">
        <f t="shared" si="40"/>
        <v>0.48120000000000002</v>
      </c>
      <c r="G188" s="13">
        <f>+'Innovación Pública'!K94</f>
        <v>0.17810000000000001</v>
      </c>
      <c r="H188" s="13">
        <f>+'Innovación Pública'!L94</f>
        <v>0.29083333333333333</v>
      </c>
      <c r="I188" s="13">
        <f>+'Innovación Pública'!V94</f>
        <v>0.9906166666666667</v>
      </c>
      <c r="J188" s="13">
        <f>+'Innovación Pública'!Y94</f>
        <v>0.18536666666666668</v>
      </c>
      <c r="K188" s="13">
        <f>+'Innovación Pública'!Z94</f>
        <v>0.43321000000000004</v>
      </c>
      <c r="L188" s="45">
        <f>+'Innovación Pública'!AA94</f>
        <v>3.5682999999999999E-2</v>
      </c>
      <c r="M188" s="45">
        <f>+'Innovación Pública'!AB94</f>
        <v>0.468026</v>
      </c>
      <c r="N188" s="37"/>
      <c r="O188" s="10"/>
      <c r="P188" s="102"/>
    </row>
    <row r="189" spans="2:16" ht="67.95" customHeight="1" x14ac:dyDescent="0.7">
      <c r="B189" s="44" t="s">
        <v>1774</v>
      </c>
      <c r="C189" s="1349"/>
      <c r="D189" s="13">
        <f>+'Innovación Pública'!I99</f>
        <v>0.25</v>
      </c>
      <c r="E189" s="13">
        <f>+'Innovación Pública'!J99</f>
        <v>0.55000000000000004</v>
      </c>
      <c r="F189" s="13">
        <f t="shared" si="40"/>
        <v>0.81166666666666676</v>
      </c>
      <c r="G189" s="13">
        <f>+'Innovación Pública'!K99</f>
        <v>0.185</v>
      </c>
      <c r="H189" s="13">
        <f>+'Innovación Pública'!L99</f>
        <v>0.44500000000000001</v>
      </c>
      <c r="I189" s="13">
        <f>+'Innovación Pública'!V99</f>
        <v>1</v>
      </c>
      <c r="J189" s="13">
        <f>+'Innovación Pública'!Y99</f>
        <v>0.26166666666666666</v>
      </c>
      <c r="K189" s="13">
        <f>+'Innovación Pública'!Z99</f>
        <v>0.70804999999999996</v>
      </c>
      <c r="L189" s="45">
        <f>+'Innovación Pública'!AA99</f>
        <v>2.095E-2</v>
      </c>
      <c r="M189" s="45">
        <f>+'Innovación Pública'!AB99</f>
        <v>0.65817499999999995</v>
      </c>
      <c r="N189" s="37"/>
      <c r="O189" s="10"/>
      <c r="P189" s="102"/>
    </row>
    <row r="190" spans="2:16" ht="45.6" customHeight="1" x14ac:dyDescent="0.7">
      <c r="B190" s="44" t="s">
        <v>1775</v>
      </c>
      <c r="C190" s="1349"/>
      <c r="D190" s="13">
        <f>+'Innovación Pública'!I105</f>
        <v>0.30555555555555552</v>
      </c>
      <c r="E190" s="13">
        <f>+'Innovación Pública'!J105</f>
        <v>0.33333333333333331</v>
      </c>
      <c r="F190" s="13">
        <f t="shared" si="40"/>
        <v>0.44155555555555553</v>
      </c>
      <c r="G190" s="13">
        <f>+'Innovación Pública'!K105</f>
        <v>0.34166666666666667</v>
      </c>
      <c r="H190" s="13">
        <f>+'Innovación Pública'!L105</f>
        <v>0.375</v>
      </c>
      <c r="I190" s="13">
        <f>+'Innovación Pública'!V105</f>
        <v>1</v>
      </c>
      <c r="J190" s="13">
        <f>+'Innovación Pública'!Y105</f>
        <v>0.10822222222222222</v>
      </c>
      <c r="K190" s="13">
        <f>+'Innovación Pública'!Z105</f>
        <v>0.63655555555555554</v>
      </c>
      <c r="L190" s="45">
        <f>+'Innovación Pública'!AA105</f>
        <v>1.0973333333333335E-2</v>
      </c>
      <c r="M190" s="45">
        <f>+'Innovación Pública'!AB105</f>
        <v>0.71386666666666665</v>
      </c>
      <c r="N190" s="37"/>
      <c r="O190" s="10"/>
      <c r="P190" s="102"/>
    </row>
    <row r="191" spans="2:16" ht="49.8" x14ac:dyDescent="0.7">
      <c r="B191" s="42" t="str">
        <f>+'Innovación Pública'!B109:B109</f>
        <v xml:space="preserve">Sistema de Planeación Distrital
</v>
      </c>
      <c r="C191" s="1349"/>
      <c r="D191" s="33">
        <f t="shared" ref="D191:G191" si="55">+(D192+D193+D194+D195+D196+D197)/6</f>
        <v>0.24594907407407407</v>
      </c>
      <c r="E191" s="33">
        <f t="shared" si="55"/>
        <v>0.29876710128495843</v>
      </c>
      <c r="F191" s="33">
        <f t="shared" si="40"/>
        <v>0.50808654572940293</v>
      </c>
      <c r="G191" s="34">
        <f t="shared" si="55"/>
        <v>0.20215277777777776</v>
      </c>
      <c r="H191" s="34">
        <f t="shared" ref="H191:I191" si="56">+(H192+H193+H194+H195+H196+H197)/6</f>
        <v>0.28790873015873014</v>
      </c>
      <c r="I191" s="772">
        <f t="shared" si="56"/>
        <v>0.87160846560846561</v>
      </c>
      <c r="J191" s="11">
        <f>+(J192+J193+J194+J195+J196+J197)/6</f>
        <v>0.20931944444444447</v>
      </c>
      <c r="K191" s="11">
        <f>+(K192+K193+K194+K195+K196+K197)/6</f>
        <v>0.56069755291005297</v>
      </c>
      <c r="L191" s="100">
        <f>+(L192+L193+L194+L195+L196+L197)</f>
        <v>0.18588916666666666</v>
      </c>
      <c r="M191" s="100">
        <f>+'Innovación Pública'!AB109</f>
        <v>0.49863416666666671</v>
      </c>
      <c r="N191" s="37"/>
      <c r="O191" s="10"/>
      <c r="P191" s="102"/>
    </row>
    <row r="192" spans="2:16" ht="55.95" customHeight="1" x14ac:dyDescent="0.7">
      <c r="B192" s="44" t="s">
        <v>1776</v>
      </c>
      <c r="C192" s="1349"/>
      <c r="D192" s="13">
        <f>+'Innovación Pública'!I110</f>
        <v>0.20833333333333331</v>
      </c>
      <c r="E192" s="13">
        <f>+'Innovación Pública'!J110</f>
        <v>0.29833333333333334</v>
      </c>
      <c r="F192" s="13">
        <f t="shared" si="40"/>
        <v>0.48722222222222222</v>
      </c>
      <c r="G192" s="13">
        <f>+'Innovación Pública'!K110</f>
        <v>0.10833333333333334</v>
      </c>
      <c r="H192" s="13">
        <f>+'Innovación Pública'!L110</f>
        <v>0.24833333333333332</v>
      </c>
      <c r="I192" s="13">
        <f>+'Innovación Pública'!V110</f>
        <v>0.98000000000000009</v>
      </c>
      <c r="J192" s="13">
        <f>+'Innovación Pública'!Y110</f>
        <v>0.18888888888888888</v>
      </c>
      <c r="K192" s="13">
        <f>+'Innovación Pública'!Z110</f>
        <v>0.82333333333333347</v>
      </c>
      <c r="L192" s="45">
        <f>+'Innovación Pública'!AA110</f>
        <v>2.7666666666666669E-2</v>
      </c>
      <c r="M192" s="45">
        <f>+'Innovación Pública'!AB110</f>
        <v>0.51416666666666666</v>
      </c>
      <c r="N192" s="37"/>
      <c r="O192" s="10"/>
      <c r="P192" s="102"/>
    </row>
    <row r="193" spans="2:16" ht="43.95" customHeight="1" x14ac:dyDescent="0.7">
      <c r="B193" s="44" t="s">
        <v>1777</v>
      </c>
      <c r="C193" s="1349"/>
      <c r="D193" s="13">
        <f>+'Innovación Pública'!I116</f>
        <v>0.19999999999999998</v>
      </c>
      <c r="E193" s="13">
        <f>+'Innovación Pública'!J116</f>
        <v>0.28150000000000003</v>
      </c>
      <c r="F193" s="13">
        <f t="shared" si="40"/>
        <v>0.46550000000000002</v>
      </c>
      <c r="G193" s="13">
        <f>+'Innovación Pública'!K116</f>
        <v>0.17499999999999999</v>
      </c>
      <c r="H193" s="13">
        <f>+'Innovación Pública'!L116</f>
        <v>0.28525</v>
      </c>
      <c r="I193" s="13">
        <f>+'Innovación Pública'!V116</f>
        <v>1</v>
      </c>
      <c r="J193" s="13">
        <f>+'Innovación Pública'!Y116</f>
        <v>0.18400000000000002</v>
      </c>
      <c r="K193" s="13">
        <f>+'Innovación Pública'!Z116</f>
        <v>0.53839166666666671</v>
      </c>
      <c r="L193" s="45">
        <f>+'Innovación Pública'!AA116</f>
        <v>3.2840000000000001E-2</v>
      </c>
      <c r="M193" s="45">
        <f>+'Innovación Pública'!AB116</f>
        <v>0.54608749999999995</v>
      </c>
      <c r="N193" s="37"/>
      <c r="O193" s="10"/>
      <c r="P193" s="102"/>
    </row>
    <row r="194" spans="2:16" ht="42" customHeight="1" x14ac:dyDescent="0.7">
      <c r="B194" s="44" t="s">
        <v>1778</v>
      </c>
      <c r="C194" s="1349"/>
      <c r="D194" s="13">
        <f>+'Innovación Pública'!I123</f>
        <v>0.25</v>
      </c>
      <c r="E194" s="13">
        <f>+'Innovación Pública'!J123</f>
        <v>0.27040816326530609</v>
      </c>
      <c r="F194" s="13">
        <f t="shared" si="40"/>
        <v>0.52982482993197277</v>
      </c>
      <c r="G194" s="13">
        <f>+'Innovación Pública'!K123</f>
        <v>0.2</v>
      </c>
      <c r="H194" s="13">
        <f>+'Innovación Pública'!L123</f>
        <v>0.26428571428571429</v>
      </c>
      <c r="I194" s="13">
        <f>+'Innovación Pública'!V123</f>
        <v>0.77142857142857146</v>
      </c>
      <c r="J194" s="13">
        <f>+'Innovación Pública'!Y123</f>
        <v>0.25941666666666668</v>
      </c>
      <c r="K194" s="13">
        <f>+'Innovación Pública'!Z123</f>
        <v>0.46607142857142858</v>
      </c>
      <c r="L194" s="45">
        <f>+'Innovación Pública'!AA123</f>
        <v>4.8570000000000002E-2</v>
      </c>
      <c r="M194" s="45">
        <f>+'Innovación Pública'!AB123</f>
        <v>0.50124999999999997</v>
      </c>
      <c r="N194" s="37"/>
      <c r="O194" s="10"/>
      <c r="P194" s="102"/>
    </row>
    <row r="195" spans="2:16" ht="39" customHeight="1" x14ac:dyDescent="0.7">
      <c r="B195" s="44" t="s">
        <v>1779</v>
      </c>
      <c r="C195" s="1349"/>
      <c r="D195" s="13">
        <f>+'Innovación Pública'!I131</f>
        <v>0.41111111111111109</v>
      </c>
      <c r="E195" s="13">
        <f>+'Innovación Pública'!J131</f>
        <v>0.41111111111111109</v>
      </c>
      <c r="F195" s="13">
        <f t="shared" si="40"/>
        <v>0.72222222222222221</v>
      </c>
      <c r="G195" s="13">
        <f>+'Innovación Pública'!K131</f>
        <v>0.37333333333333329</v>
      </c>
      <c r="H195" s="13">
        <f>+'Innovación Pública'!L131</f>
        <v>0.37333333333333329</v>
      </c>
      <c r="I195" s="13">
        <f>+'Innovación Pública'!V131</f>
        <v>1</v>
      </c>
      <c r="J195" s="13">
        <f>+'Innovación Pública'!Y131</f>
        <v>0.31111111111111112</v>
      </c>
      <c r="K195" s="13">
        <f>+'Innovación Pública'!Z131</f>
        <v>0.72222222222222221</v>
      </c>
      <c r="L195" s="45">
        <f>+'Innovación Pública'!AA131</f>
        <v>4.3999999999999997E-2</v>
      </c>
      <c r="M195" s="45">
        <f>+'Innovación Pública'!AB131</f>
        <v>0.66666666666666674</v>
      </c>
      <c r="N195" s="37"/>
      <c r="O195" s="10"/>
      <c r="P195" s="102"/>
    </row>
    <row r="196" spans="2:16" ht="33.6" customHeight="1" x14ac:dyDescent="0.7">
      <c r="B196" s="44" t="s">
        <v>1780</v>
      </c>
      <c r="C196" s="1349"/>
      <c r="D196" s="13">
        <f>+'Innovación Pública'!I134</f>
        <v>0.25</v>
      </c>
      <c r="E196" s="13">
        <f>+'Innovación Pública'!J134</f>
        <v>0.25</v>
      </c>
      <c r="F196" s="13">
        <f t="shared" ref="F196:F206" si="57">+J196+E196</f>
        <v>0.40625</v>
      </c>
      <c r="G196" s="13">
        <f>+'Innovación Pública'!K134</f>
        <v>0.2</v>
      </c>
      <c r="H196" s="13">
        <f>+'Innovación Pública'!L134</f>
        <v>0.27500000000000002</v>
      </c>
      <c r="I196" s="13">
        <f>+'Innovación Pública'!V134</f>
        <v>0.72222222222222221</v>
      </c>
      <c r="J196" s="104">
        <f>+'Innovación Pública'!Y134</f>
        <v>0.15625</v>
      </c>
      <c r="K196" s="104">
        <f>+'Innovación Pública'!Z134</f>
        <v>0.35416666666666669</v>
      </c>
      <c r="L196" s="45">
        <f>+'Innovación Pública'!AA134</f>
        <v>2.5000000000000001E-2</v>
      </c>
      <c r="M196" s="45">
        <f>+'Innovación Pública'!AB134</f>
        <v>0.31666666666666665</v>
      </c>
      <c r="N196" s="37"/>
      <c r="O196" s="10"/>
      <c r="P196" s="102"/>
    </row>
    <row r="197" spans="2:16" ht="48.6" customHeight="1" x14ac:dyDescent="0.7">
      <c r="B197" s="47" t="s">
        <v>1781</v>
      </c>
      <c r="C197" s="1350"/>
      <c r="D197" s="48">
        <f>+'Innovación Pública'!I139</f>
        <v>0.15625</v>
      </c>
      <c r="E197" s="48">
        <f>+'Innovación Pública'!J139</f>
        <v>0.28125</v>
      </c>
      <c r="F197" s="48">
        <f t="shared" si="57"/>
        <v>0.4375</v>
      </c>
      <c r="G197" s="48">
        <f>+'Innovación Pública'!K139</f>
        <v>0.15625</v>
      </c>
      <c r="H197" s="48">
        <f>+'Innovación Pública'!L139</f>
        <v>0.28125</v>
      </c>
      <c r="I197" s="48">
        <f>+'Innovación Pública'!V139</f>
        <v>0.75600000000000001</v>
      </c>
      <c r="J197" s="136">
        <f>+'Innovación Pública'!Y139</f>
        <v>0.15625</v>
      </c>
      <c r="K197" s="136">
        <f>+'Innovación Pública'!Z139</f>
        <v>0.46</v>
      </c>
      <c r="L197" s="49">
        <f>+'Innovación Pública'!AA139</f>
        <v>7.8125E-3</v>
      </c>
      <c r="M197" s="49">
        <f>+'Innovación Pública'!AB139</f>
        <v>0.46</v>
      </c>
      <c r="N197" s="37"/>
      <c r="O197" s="10"/>
      <c r="P197" s="102"/>
    </row>
    <row r="198" spans="2:16" ht="120" customHeight="1" x14ac:dyDescent="0.7">
      <c r="B198" s="39" t="str">
        <f>+'Capitulo Etnico'!B3:C3</f>
        <v xml:space="preserve">CAPÍTULO DE LOS PUEBLOS Y COMUNIDADES ÉTNICAS
</v>
      </c>
      <c r="C198" s="1346">
        <v>0.02</v>
      </c>
      <c r="D198" s="40">
        <f>+'Capitulo Etnico'!I3</f>
        <v>0.25509259259259259</v>
      </c>
      <c r="E198" s="40">
        <f>+'Capitulo Etnico'!J3</f>
        <v>0.26321869488536154</v>
      </c>
      <c r="F198" s="40">
        <f t="shared" si="57"/>
        <v>0.31880731922398586</v>
      </c>
      <c r="G198" s="40">
        <f>+'Capitulo Etnico'!K3</f>
        <v>6.9222222222222241E-2</v>
      </c>
      <c r="H198" s="40">
        <f>+'Capitulo Etnico'!L3</f>
        <v>0.24656944444444442</v>
      </c>
      <c r="I198" s="40">
        <f>+'Capitulo Etnico'!V3</f>
        <v>0.87047558922558932</v>
      </c>
      <c r="J198" s="40">
        <f>+'Capitulo Etnico'!Y3</f>
        <v>5.5588624338624326E-2</v>
      </c>
      <c r="K198" s="40">
        <f>+'Capitulo Etnico'!Z3</f>
        <v>0.36192553511303516</v>
      </c>
      <c r="L198" s="41">
        <f>+'Capitulo Etnico'!AA3</f>
        <v>3.0192916666666677E-2</v>
      </c>
      <c r="M198" s="41">
        <f>+'Capitulo Etnico'!AB3</f>
        <v>0.33027767045454548</v>
      </c>
      <c r="N198" s="37"/>
      <c r="O198" s="10"/>
      <c r="P198" s="102"/>
    </row>
    <row r="199" spans="2:16" ht="142.19999999999999" customHeight="1" x14ac:dyDescent="0.7">
      <c r="B199" s="42" t="str">
        <f>+'Capitulo Etnico'!B4:C4</f>
        <v xml:space="preserve"> Fortalecimiento al Desarrollo Afro-Territorial de la Población Negra, Afrocolombiana, Raizal y Palenquera
</v>
      </c>
      <c r="C199" s="1347"/>
      <c r="D199" s="33">
        <f>+(D200+D201+D202)/2</f>
        <v>0.42499999999999999</v>
      </c>
      <c r="E199" s="33">
        <f>+(E200+E201+E202)/3</f>
        <v>0.21841269841269842</v>
      </c>
      <c r="F199" s="33">
        <f t="shared" si="57"/>
        <v>0.28329365079365076</v>
      </c>
      <c r="G199" s="34">
        <f>+(G200+G201+G202)/3</f>
        <v>5.4833333333333345E-2</v>
      </c>
      <c r="H199" s="34">
        <f t="shared" ref="H199:I199" si="58">+(H200+H201+H202)/3</f>
        <v>0.20013888888888887</v>
      </c>
      <c r="I199" s="34">
        <f t="shared" si="58"/>
        <v>0.86391414141414147</v>
      </c>
      <c r="J199" s="11">
        <f>+(J200+J201+J202)/3</f>
        <v>6.4880952380952372E-2</v>
      </c>
      <c r="K199" s="11">
        <f>+(K200+K201+K202)/3</f>
        <v>0.35168903318903322</v>
      </c>
      <c r="L199" s="850">
        <f>+(L200+L201+L202)</f>
        <v>6.946666666666669E-2</v>
      </c>
      <c r="M199" s="850">
        <f>+'Capitulo Etnico'!AB4</f>
        <v>0.32727939393939398</v>
      </c>
      <c r="N199" s="37"/>
      <c r="O199" s="10"/>
      <c r="P199" s="102"/>
    </row>
    <row r="200" spans="2:16" ht="103.95" customHeight="1" x14ac:dyDescent="0.7">
      <c r="B200" s="44" t="s">
        <v>1782</v>
      </c>
      <c r="C200" s="1347"/>
      <c r="D200" s="20">
        <f>+'Capitulo Etnico'!I5</f>
        <v>0.19999999999999998</v>
      </c>
      <c r="E200" s="20">
        <f>+'Capitulo Etnico'!J5</f>
        <v>0.22666666666666666</v>
      </c>
      <c r="F200" s="20">
        <f t="shared" si="57"/>
        <v>0.36416666666666664</v>
      </c>
      <c r="G200" s="20">
        <f>+'Capitulo Etnico'!K5</f>
        <v>8.7000000000000008E-2</v>
      </c>
      <c r="H200" s="20">
        <f>+'Capitulo Etnico'!L5</f>
        <v>0.16666666666666663</v>
      </c>
      <c r="I200" s="20">
        <f>+'Capitulo Etnico'!V5</f>
        <v>0.75424242424242427</v>
      </c>
      <c r="J200" s="13">
        <f>+'Capitulo Etnico'!Y5</f>
        <v>0.13749999999999998</v>
      </c>
      <c r="K200" s="13">
        <f>+'Capitulo Etnico'!Z5</f>
        <v>0.30019696969696968</v>
      </c>
      <c r="L200" s="46">
        <f>+'Capitulo Etnico'!AA5</f>
        <v>6.1466666666666683E-2</v>
      </c>
      <c r="M200" s="46">
        <f>+'Capitulo Etnico'!AB5</f>
        <v>0.29172121212121216</v>
      </c>
      <c r="N200" s="37"/>
      <c r="O200" s="10"/>
      <c r="P200" s="102"/>
    </row>
    <row r="201" spans="2:16" ht="66.599999999999994" customHeight="1" x14ac:dyDescent="0.7">
      <c r="B201" s="44" t="s">
        <v>1783</v>
      </c>
      <c r="C201" s="1347"/>
      <c r="D201" s="20">
        <f>+'Capitulo Etnico'!I14</f>
        <v>0.25</v>
      </c>
      <c r="E201" s="20">
        <f>+'Capitulo Etnico'!J14</f>
        <v>9.6428571428571433E-2</v>
      </c>
      <c r="F201" s="20">
        <f t="shared" si="57"/>
        <v>9.6428571428571433E-2</v>
      </c>
      <c r="G201" s="20">
        <f>+'Capitulo Etnico'!K14</f>
        <v>3.7500000000000006E-2</v>
      </c>
      <c r="H201" s="20">
        <f>+'Capitulo Etnico'!L14</f>
        <v>0.1075</v>
      </c>
      <c r="I201" s="20">
        <f>+'Capitulo Etnico'!V14</f>
        <v>1</v>
      </c>
      <c r="J201" s="13">
        <f>+'Capitulo Etnico'!Y14</f>
        <v>0</v>
      </c>
      <c r="K201" s="13">
        <f>+'Capitulo Etnico'!Z14</f>
        <v>0.40487012987012988</v>
      </c>
      <c r="L201" s="46">
        <f>+'Capitulo Etnico'!AA14</f>
        <v>0</v>
      </c>
      <c r="M201" s="46">
        <f>+'Capitulo Etnico'!AB14</f>
        <v>0.25522727272727275</v>
      </c>
      <c r="N201" s="37"/>
      <c r="O201" s="10"/>
      <c r="P201" s="102"/>
    </row>
    <row r="202" spans="2:16" ht="57" customHeight="1" x14ac:dyDescent="0.7">
      <c r="B202" s="44" t="s">
        <v>1784</v>
      </c>
      <c r="C202" s="1347"/>
      <c r="D202" s="20">
        <f>+'Capitulo Etnico'!I22</f>
        <v>0.4</v>
      </c>
      <c r="E202" s="20">
        <f>+'Capitulo Etnico'!J22</f>
        <v>0.33214285714285718</v>
      </c>
      <c r="F202" s="20">
        <f t="shared" si="57"/>
        <v>0.38928571428571435</v>
      </c>
      <c r="G202" s="20">
        <f>+'Capitulo Etnico'!K22</f>
        <v>4.0000000000000008E-2</v>
      </c>
      <c r="H202" s="20">
        <f>+'Capitulo Etnico'!L22</f>
        <v>0.32625000000000004</v>
      </c>
      <c r="I202" s="20">
        <f>+'Capitulo Etnico'!V22</f>
        <v>0.83750000000000002</v>
      </c>
      <c r="J202" s="13">
        <f>+'Capitulo Etnico'!Y22</f>
        <v>5.7142857142857141E-2</v>
      </c>
      <c r="K202" s="13">
        <f>+'Capitulo Etnico'!Z22</f>
        <v>0.35</v>
      </c>
      <c r="L202" s="45">
        <f>+'Capitulo Etnico'!AA22</f>
        <v>8.0000000000000019E-3</v>
      </c>
      <c r="M202" s="45">
        <f>+'Capitulo Etnico'!AB22</f>
        <v>0.54249999999999998</v>
      </c>
      <c r="N202" s="37"/>
      <c r="O202" s="10"/>
      <c r="P202" s="102"/>
    </row>
    <row r="203" spans="2:16" ht="49.8" x14ac:dyDescent="0.7">
      <c r="B203" s="42" t="str">
        <f>+'Capitulo Etnico'!B30:C30</f>
        <v xml:space="preserve">Territorio Sitio de Paz y Pensamiento Colectivo
</v>
      </c>
      <c r="C203" s="1347"/>
      <c r="D203" s="33">
        <f t="shared" ref="D203:G203" si="59">+(D204+D205+D206)/3</f>
        <v>0.22685185185185186</v>
      </c>
      <c r="E203" s="33">
        <f t="shared" si="59"/>
        <v>0.30802469135802468</v>
      </c>
      <c r="F203" s="33">
        <f t="shared" si="57"/>
        <v>0.35432098765432096</v>
      </c>
      <c r="G203" s="34">
        <f t="shared" si="59"/>
        <v>8.3611111111111122E-2</v>
      </c>
      <c r="H203" s="34">
        <f t="shared" ref="H203:I203" si="60">+(H204+H205+H206)/3</f>
        <v>0.29299999999999998</v>
      </c>
      <c r="I203" s="34">
        <f t="shared" si="60"/>
        <v>0.87703703703703706</v>
      </c>
      <c r="J203" s="11">
        <f>+(J204+J205+J206)/3</f>
        <v>4.6296296296296287E-2</v>
      </c>
      <c r="K203" s="11">
        <f>+(K204+K205+K206)/3</f>
        <v>0.37216203703703704</v>
      </c>
      <c r="L203" s="100">
        <f>+(L204+L205+L206)</f>
        <v>9.6249999999999999E-3</v>
      </c>
      <c r="M203" s="100">
        <f>+'Capitulo Etnico'!AB30</f>
        <v>0.33927250000000003</v>
      </c>
      <c r="N203" s="37"/>
      <c r="O203" s="10"/>
      <c r="P203" s="102"/>
    </row>
    <row r="204" spans="2:16" ht="33.6" customHeight="1" x14ac:dyDescent="0.7">
      <c r="B204" s="44" t="s">
        <v>1785</v>
      </c>
      <c r="C204" s="1347"/>
      <c r="D204" s="20">
        <f>+'Capitulo Etnico'!I31</f>
        <v>0.30555555555555552</v>
      </c>
      <c r="E204" s="20">
        <f>+'Capitulo Etnico'!J31</f>
        <v>0.33462962962962967</v>
      </c>
      <c r="F204" s="20">
        <f t="shared" si="57"/>
        <v>0.47351851851851856</v>
      </c>
      <c r="G204" s="20">
        <f>+'Capitulo Etnico'!K31</f>
        <v>0.18208333333333335</v>
      </c>
      <c r="H204" s="20">
        <f>+'Capitulo Etnico'!L31</f>
        <v>0.29941666666666666</v>
      </c>
      <c r="I204" s="20">
        <f>+'Capitulo Etnico'!V31</f>
        <v>0.76111111111111107</v>
      </c>
      <c r="J204" s="13">
        <f>+'Capitulo Etnico'!Y31</f>
        <v>0.13888888888888887</v>
      </c>
      <c r="K204" s="13">
        <f>+'Capitulo Etnico'!Z31</f>
        <v>0.31381944444444443</v>
      </c>
      <c r="L204" s="45">
        <f>+'Capitulo Etnico'!AA31</f>
        <v>9.6249999999999999E-3</v>
      </c>
      <c r="M204" s="45">
        <f>+'Capitulo Etnico'!AB31</f>
        <v>0.17684166666666667</v>
      </c>
      <c r="N204" s="37"/>
      <c r="O204" s="10"/>
      <c r="P204" s="102"/>
    </row>
    <row r="205" spans="2:16" ht="40.200000000000003" customHeight="1" x14ac:dyDescent="0.7">
      <c r="B205" s="44" t="s">
        <v>1786</v>
      </c>
      <c r="C205" s="1347"/>
      <c r="D205" s="20">
        <f>+'Capitulo Etnico'!I40</f>
        <v>0.25</v>
      </c>
      <c r="E205" s="20">
        <f>+'Capitulo Etnico'!J40</f>
        <v>0.32777777777777778</v>
      </c>
      <c r="F205" s="20">
        <f t="shared" si="57"/>
        <v>0.32777777777777778</v>
      </c>
      <c r="G205" s="20">
        <f>+'Capitulo Etnico'!K40</f>
        <v>3.7499999999999999E-2</v>
      </c>
      <c r="H205" s="20">
        <f>+'Capitulo Etnico'!L40</f>
        <v>0.28416666666666668</v>
      </c>
      <c r="I205" s="20">
        <f>+'Capitulo Etnico'!V40</f>
        <v>0.86999999999999988</v>
      </c>
      <c r="J205" s="13">
        <f>+'Capitulo Etnico'!Y40</f>
        <v>0</v>
      </c>
      <c r="K205" s="13">
        <f>+'Capitulo Etnico'!Z40</f>
        <v>0.33566666666666661</v>
      </c>
      <c r="L205" s="45">
        <f>+'Capitulo Etnico'!AA40</f>
        <v>0</v>
      </c>
      <c r="M205" s="45">
        <f>+'Capitulo Etnico'!AB40</f>
        <v>0.31906666666666667</v>
      </c>
      <c r="N205" s="37"/>
      <c r="O205" s="10"/>
      <c r="P205" s="102"/>
    </row>
    <row r="206" spans="2:16" ht="46.2" customHeight="1" x14ac:dyDescent="0.7">
      <c r="B206" s="47" t="s">
        <v>1787</v>
      </c>
      <c r="C206" s="1348"/>
      <c r="D206" s="51">
        <f>+'Capitulo Etnico'!I47</f>
        <v>0.125</v>
      </c>
      <c r="E206" s="51">
        <f>+'Capitulo Etnico'!J47</f>
        <v>0.26166666666666666</v>
      </c>
      <c r="F206" s="51">
        <f t="shared" si="57"/>
        <v>0.26166666666666666</v>
      </c>
      <c r="G206" s="51">
        <f>+'Capitulo Etnico'!K47</f>
        <v>3.125E-2</v>
      </c>
      <c r="H206" s="51">
        <f>+'Capitulo Etnico'!L47</f>
        <v>0.29541666666666666</v>
      </c>
      <c r="I206" s="51">
        <f>+'Capitulo Etnico'!V47</f>
        <v>1</v>
      </c>
      <c r="J206" s="48">
        <f>+'Capitulo Etnico'!Y47</f>
        <v>0</v>
      </c>
      <c r="K206" s="48">
        <f>+'Capitulo Etnico'!Z47</f>
        <v>0.46699999999999997</v>
      </c>
      <c r="L206" s="49">
        <f>+'Capitulo Etnico'!AA47</f>
        <v>0</v>
      </c>
      <c r="M206" s="49">
        <f>+'Capitulo Etnico'!AB47</f>
        <v>0.47625000000000006</v>
      </c>
      <c r="N206" s="37"/>
      <c r="O206" s="10"/>
      <c r="P206" s="102"/>
    </row>
  </sheetData>
  <sheetProtection password="DF7C" sheet="1" objects="1" scenarios="1"/>
  <autoFilter ref="B2:T206" xr:uid="{00000000-0009-0000-0000-000006000000}"/>
  <mergeCells count="6">
    <mergeCell ref="C198:C206"/>
    <mergeCell ref="C4:C45"/>
    <mergeCell ref="C46:C91"/>
    <mergeCell ref="C92:C122"/>
    <mergeCell ref="C123:C160"/>
    <mergeCell ref="C161:C19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C1000"/>
  <sheetViews>
    <sheetView zoomScale="20" zoomScaleNormal="20" workbookViewId="0">
      <selection activeCell="S3" sqref="S3"/>
    </sheetView>
  </sheetViews>
  <sheetFormatPr baseColWidth="10" defaultColWidth="14.44140625" defaultRowHeight="15" customHeight="1" x14ac:dyDescent="0.3"/>
  <cols>
    <col min="1" max="1" width="10.6640625" customWidth="1"/>
    <col min="2" max="2" width="80.88671875" customWidth="1"/>
    <col min="3" max="3" width="42.5546875" customWidth="1"/>
    <col min="4" max="4" width="47.88671875" customWidth="1"/>
    <col min="5" max="5" width="44" customWidth="1"/>
    <col min="6" max="6" width="50.109375" customWidth="1"/>
    <col min="7" max="7" width="53.77734375" customWidth="1"/>
    <col min="8" max="8" width="57.21875" hidden="1" customWidth="1"/>
    <col min="9" max="9" width="55" hidden="1" customWidth="1"/>
    <col min="10" max="10" width="65.5546875" hidden="1" customWidth="1"/>
    <col min="11" max="11" width="51" customWidth="1"/>
    <col min="12" max="12" width="49.77734375" customWidth="1"/>
    <col min="13" max="13" width="54.33203125" customWidth="1"/>
    <col min="14" max="14" width="55.44140625" customWidth="1"/>
    <col min="15" max="15" width="49.6640625" customWidth="1"/>
    <col min="16" max="17" width="49.33203125" customWidth="1"/>
    <col min="18" max="18" width="57.44140625" customWidth="1"/>
    <col min="19" max="19" width="44.109375" customWidth="1"/>
    <col min="20" max="20" width="35.5546875" hidden="1" customWidth="1"/>
    <col min="21" max="21" width="23" hidden="1" customWidth="1"/>
    <col min="22" max="24" width="10.6640625" customWidth="1"/>
    <col min="25" max="26" width="30" customWidth="1"/>
    <col min="27" max="38" width="10.6640625" customWidth="1"/>
  </cols>
  <sheetData>
    <row r="1" spans="2:28" ht="15" customHeight="1" thickBot="1" x14ac:dyDescent="0.35"/>
    <row r="2" spans="2:28" s="795" customFormat="1" ht="157.5" customHeight="1" x14ac:dyDescent="0.45">
      <c r="B2" s="800"/>
      <c r="C2" s="801" t="s">
        <v>1156</v>
      </c>
      <c r="D2" s="802" t="s">
        <v>1991</v>
      </c>
      <c r="E2" s="803" t="s">
        <v>1936</v>
      </c>
      <c r="F2" s="803" t="s">
        <v>1976</v>
      </c>
      <c r="G2" s="821" t="s">
        <v>2495</v>
      </c>
      <c r="H2" s="804" t="s">
        <v>1992</v>
      </c>
      <c r="I2" s="804" t="s">
        <v>1993</v>
      </c>
      <c r="J2" s="804" t="s">
        <v>1994</v>
      </c>
      <c r="K2" s="805" t="s">
        <v>2496</v>
      </c>
      <c r="L2" s="804" t="s">
        <v>2335</v>
      </c>
      <c r="M2" s="805" t="s">
        <v>2497</v>
      </c>
      <c r="N2" s="806" t="s">
        <v>2444</v>
      </c>
      <c r="O2" s="807" t="s">
        <v>1578</v>
      </c>
      <c r="P2" s="808" t="s">
        <v>1970</v>
      </c>
      <c r="Q2" s="809" t="s">
        <v>1971</v>
      </c>
      <c r="R2" s="810" t="s">
        <v>2498</v>
      </c>
      <c r="T2" s="796" t="s">
        <v>1154</v>
      </c>
      <c r="U2" s="797" t="s">
        <v>1155</v>
      </c>
      <c r="Y2" s="1355" t="s">
        <v>1538</v>
      </c>
      <c r="Z2" s="1355" t="s">
        <v>1539</v>
      </c>
    </row>
    <row r="3" spans="2:28" ht="186.6" customHeight="1" thickBot="1" x14ac:dyDescent="0.75">
      <c r="B3" s="811" t="s">
        <v>1588</v>
      </c>
      <c r="D3" s="838">
        <v>0.2014</v>
      </c>
      <c r="E3" s="1072">
        <f>+'PLAN DE DESARROLLO 2024 - 2027'!E3</f>
        <v>0.2931603912885164</v>
      </c>
      <c r="F3" s="1049">
        <f>+D3+E3</f>
        <v>0.49456039128851637</v>
      </c>
      <c r="G3" s="839">
        <f>+K3-D3</f>
        <v>0.28354770380311023</v>
      </c>
      <c r="H3" s="840"/>
      <c r="I3" s="840"/>
      <c r="J3" s="840"/>
      <c r="K3" s="1070">
        <f>+'PLAN DE DESARROLLO 2024 - 2027'!K3</f>
        <v>0.4849477038031102</v>
      </c>
      <c r="L3" s="840">
        <v>0.7941582819202514</v>
      </c>
      <c r="M3" s="907">
        <f>+'PLAN DE DESARROLLO 2024 - 2027'!I3</f>
        <v>0.82048422327474613</v>
      </c>
      <c r="N3" s="844">
        <f>+G3/E3</f>
        <v>0.96721014239626335</v>
      </c>
      <c r="O3" s="841">
        <f>+'PLAN DE DESARROLLO 2024 - 2027'!G3</f>
        <v>0.1793132482964562</v>
      </c>
      <c r="P3" s="841">
        <f>+'PLAN DE DESARROLLO 2024 - 2027'!H3</f>
        <v>0.25230555747492051</v>
      </c>
      <c r="Q3" s="842">
        <v>0.16474944869063249</v>
      </c>
      <c r="R3" s="1050">
        <f>+'PLAN DE DESARROLLO 2024 - 2027'!M3</f>
        <v>0.45032111099312705</v>
      </c>
      <c r="S3" s="1073"/>
      <c r="T3" s="63"/>
      <c r="U3" s="1"/>
      <c r="Y3" s="1356"/>
      <c r="Z3" s="1356"/>
    </row>
    <row r="4" spans="2:28" ht="92.25" customHeight="1" thickBot="1" x14ac:dyDescent="1.1499999999999999">
      <c r="B4" s="812" t="str">
        <f>+'Seguridad Humana'!B3:C3</f>
        <v xml:space="preserve"> SEGURIDAD HUMANA
</v>
      </c>
      <c r="C4" s="4">
        <v>0.3</v>
      </c>
      <c r="D4" s="769">
        <v>0.25472941442069297</v>
      </c>
      <c r="E4" s="1153">
        <f>+'PLAN DE DESARROLLO 2024 - 2027'!E4</f>
        <v>0.37391117816579211</v>
      </c>
      <c r="F4" s="1155">
        <f>+D4+E4</f>
        <v>0.62864059258648508</v>
      </c>
      <c r="G4" s="770">
        <f>+K4-D4</f>
        <v>0.26567020068887515</v>
      </c>
      <c r="H4" s="798"/>
      <c r="I4" s="798"/>
      <c r="J4" s="798"/>
      <c r="K4" s="798">
        <f>+'PLAN DE DESARROLLO 2024 - 2027'!K4</f>
        <v>0.52039961510956811</v>
      </c>
      <c r="L4" s="798">
        <v>0.84332704195548547</v>
      </c>
      <c r="M4" s="798">
        <f>+'PLAN DE DESARROLLO 2024 - 2027'!I4</f>
        <v>0.8432679950416061</v>
      </c>
      <c r="N4" s="799">
        <f>+G4/E4</f>
        <v>0.71051687192693946</v>
      </c>
      <c r="O4" s="769">
        <f>+'PLAN DE DESARROLLO 2024 - 2027'!G4</f>
        <v>0.1963447624265218</v>
      </c>
      <c r="P4" s="769">
        <f>+'PLAN DE DESARROLLO 2024 - 2027'!H4</f>
        <v>0.2531166550657612</v>
      </c>
      <c r="Q4" s="770">
        <v>0.20761825159703684</v>
      </c>
      <c r="R4" s="813">
        <f>+'PLAN DE DESARROLLO 2024 - 2027'!M4</f>
        <v>0.4762878624287053</v>
      </c>
      <c r="S4" s="1073"/>
      <c r="T4" s="64"/>
      <c r="U4" s="3"/>
      <c r="Y4" s="35">
        <v>697</v>
      </c>
      <c r="Z4" s="36">
        <f>1/Y4</f>
        <v>1.4347202295552368E-3</v>
      </c>
      <c r="AA4" s="15"/>
    </row>
    <row r="5" spans="2:28" ht="91.2" customHeight="1" x14ac:dyDescent="1.1000000000000001">
      <c r="B5" s="812" t="str">
        <f>+'Vida Digna'!B3:C3</f>
        <v xml:space="preserve"> VIDA DIGNA
</v>
      </c>
      <c r="C5" s="4">
        <v>0.2</v>
      </c>
      <c r="D5" s="769">
        <v>0.22389547133016827</v>
      </c>
      <c r="E5" s="1153">
        <f>+'PLAN DE DESARROLLO 2024 - 2027'!E46</f>
        <v>0.29872026705958277</v>
      </c>
      <c r="F5" s="1155">
        <f t="shared" ref="F5:F9" si="0">+D5+E5</f>
        <v>0.52261573838975106</v>
      </c>
      <c r="G5" s="770">
        <f>+K5-D5</f>
        <v>0.2888530937172864</v>
      </c>
      <c r="H5" s="798"/>
      <c r="I5" s="798"/>
      <c r="J5" s="798"/>
      <c r="K5" s="798">
        <f>+'PLAN DE DESARROLLO 2024 - 2027'!K46</f>
        <v>0.5127485650474547</v>
      </c>
      <c r="L5" s="798">
        <v>0.85198226383644504</v>
      </c>
      <c r="M5" s="798">
        <f>+'PLAN DE DESARROLLO 2024 - 2027'!I46</f>
        <v>0.71761002085769865</v>
      </c>
      <c r="N5" s="799">
        <f t="shared" ref="N5:N9" si="1">+G5/E5</f>
        <v>0.96696851727061339</v>
      </c>
      <c r="O5" s="769">
        <f>+'PLAN DE DESARROLLO 2024 - 2027'!G46</f>
        <v>0.20215522261646302</v>
      </c>
      <c r="P5" s="769">
        <f>+'PLAN DE DESARROLLO 2024 - 2027'!H46</f>
        <v>0.25366832876982387</v>
      </c>
      <c r="Q5" s="770">
        <v>0.18203033285293824</v>
      </c>
      <c r="R5" s="813">
        <f>+'PLAN DE DESARROLLO 2024 - 2027'!M46</f>
        <v>0.48090129462939524</v>
      </c>
      <c r="S5" s="1073"/>
      <c r="T5" s="64"/>
      <c r="U5" s="2"/>
      <c r="Z5" s="6"/>
      <c r="AA5" s="16"/>
      <c r="AB5" s="16"/>
    </row>
    <row r="6" spans="2:28" ht="105.6" customHeight="1" x14ac:dyDescent="1.1000000000000001">
      <c r="B6" s="812" t="str">
        <f>+'Desarrollo Economico'!B3:B3</f>
        <v xml:space="preserve"> DESARROLLO ECONÓMICO EQUITATIVO
</v>
      </c>
      <c r="C6" s="4">
        <v>0.15</v>
      </c>
      <c r="D6" s="769">
        <v>0.23537004965661618</v>
      </c>
      <c r="E6" s="1153">
        <f>+'PLAN DE DESARROLLO 2024 - 2027'!E92</f>
        <v>0.30996708312904808</v>
      </c>
      <c r="F6" s="1155">
        <f t="shared" si="0"/>
        <v>0.5453371327856642</v>
      </c>
      <c r="G6" s="770">
        <f t="shared" ref="G6:G9" si="2">+K6-D6</f>
        <v>0.25275055545585895</v>
      </c>
      <c r="H6" s="798"/>
      <c r="I6" s="798"/>
      <c r="J6" s="798"/>
      <c r="K6" s="798">
        <f>+'PLAN DE DESARROLLO 2024 - 2027'!K92</f>
        <v>0.48812060511247513</v>
      </c>
      <c r="L6" s="798">
        <v>0.9432222222222223</v>
      </c>
      <c r="M6" s="798">
        <f>+'PLAN DE DESARROLLO 2024 - 2027'!I92</f>
        <v>0.7753023577263406</v>
      </c>
      <c r="N6" s="799">
        <f t="shared" si="1"/>
        <v>0.81541095559050614</v>
      </c>
      <c r="O6" s="769">
        <f>+'PLAN DE DESARROLLO 2024 - 2027'!G92</f>
        <v>0.19244539710966052</v>
      </c>
      <c r="P6" s="769">
        <f>+'PLAN DE DESARROLLO 2024 - 2027'!H92</f>
        <v>0.29997897073411611</v>
      </c>
      <c r="Q6" s="770">
        <v>0.19709284711832917</v>
      </c>
      <c r="R6" s="813">
        <f>+'PLAN DE DESARROLLO 2024 - 2027'!M92</f>
        <v>0.47717044466787067</v>
      </c>
      <c r="S6" s="1073"/>
      <c r="T6" s="64"/>
      <c r="U6" s="2"/>
      <c r="Y6" s="65"/>
      <c r="Z6" s="5"/>
    </row>
    <row r="7" spans="2:28" ht="153.6" customHeight="1" x14ac:dyDescent="1.1000000000000001">
      <c r="B7" s="812" t="str">
        <f>+'Ciudad Conectada'!B3:B3</f>
        <v xml:space="preserve">CARTAGENA CIUDAD CONECTADA Y SOSTENIBLE
</v>
      </c>
      <c r="C7" s="4">
        <v>0.25</v>
      </c>
      <c r="D7" s="769">
        <v>0.22160323916687383</v>
      </c>
      <c r="E7" s="1153">
        <f>+'PLAN DE DESARROLLO 2024 - 2027'!E123</f>
        <v>0.23066712604683681</v>
      </c>
      <c r="F7" s="1155">
        <f t="shared" si="0"/>
        <v>0.45227036521371067</v>
      </c>
      <c r="G7" s="770">
        <f t="shared" si="2"/>
        <v>0.25954428871251833</v>
      </c>
      <c r="H7" s="798"/>
      <c r="I7" s="798"/>
      <c r="J7" s="798"/>
      <c r="K7" s="798">
        <f>+'PLAN DE DESARROLLO 2024 - 2027'!K123</f>
        <v>0.48114752787939219</v>
      </c>
      <c r="L7" s="798">
        <v>0.81130732140563089</v>
      </c>
      <c r="M7" s="798">
        <f>+'PLAN DE DESARROLLO 2024 - 2027'!I123</f>
        <v>0.83345436158257791</v>
      </c>
      <c r="N7" s="799">
        <f t="shared" si="1"/>
        <v>1.1251897622369389</v>
      </c>
      <c r="O7" s="769">
        <f>+'PLAN DE DESARROLLO 2024 - 2027'!G123</f>
        <v>0.19844971717901827</v>
      </c>
      <c r="P7" s="769">
        <f>+'PLAN DE DESARROLLO 2024 - 2027'!H123</f>
        <v>0.20087091613383856</v>
      </c>
      <c r="Q7" s="770">
        <v>0.1858257807711004</v>
      </c>
      <c r="R7" s="813">
        <f>+'PLAN DE DESARROLLO 2024 - 2027'!M123</f>
        <v>0.37052459010275579</v>
      </c>
      <c r="S7" s="1073"/>
      <c r="T7" s="64"/>
      <c r="U7" s="2"/>
    </row>
    <row r="8" spans="2:28" ht="169.2" customHeight="1" x14ac:dyDescent="1.1000000000000001">
      <c r="B8" s="812" t="str">
        <f>+'Innovación Pública'!B3:B3</f>
        <v xml:space="preserve"> INNOVACIÓN PÚBLICA Y PARTICIPACIÓN CIUDADANA
</v>
      </c>
      <c r="C8" s="4">
        <v>0.08</v>
      </c>
      <c r="D8" s="769">
        <v>0.21734598565460142</v>
      </c>
      <c r="E8" s="1153">
        <f>+'PLAN DE DESARROLLO 2024 - 2027'!E161</f>
        <v>0.28247799844447724</v>
      </c>
      <c r="F8" s="1155">
        <f t="shared" si="0"/>
        <v>0.49982398409907869</v>
      </c>
      <c r="G8" s="770">
        <f t="shared" si="2"/>
        <v>0.32799838890213462</v>
      </c>
      <c r="H8" s="798"/>
      <c r="I8" s="798"/>
      <c r="J8" s="798"/>
      <c r="K8" s="798">
        <f>+'PLAN DE DESARROLLO 2024 - 2027'!K161</f>
        <v>0.54534437455673601</v>
      </c>
      <c r="L8" s="798">
        <v>0.9123330643239469</v>
      </c>
      <c r="M8" s="798">
        <f>+'PLAN DE DESARROLLO 2024 - 2027'!I161</f>
        <v>0.88279501521466452</v>
      </c>
      <c r="N8" s="799">
        <f t="shared" si="1"/>
        <v>1.161146675876793</v>
      </c>
      <c r="O8" s="769">
        <f>+'PLAN DE DESARROLLO 2024 - 2027'!G161</f>
        <v>0.21726216822485131</v>
      </c>
      <c r="P8" s="769">
        <f>+'PLAN DE DESARROLLO 2024 - 2027'!H161</f>
        <v>0.25962902970153884</v>
      </c>
      <c r="Q8" s="770">
        <v>0.19305031313772361</v>
      </c>
      <c r="R8" s="813">
        <f>+'PLAN DE DESARROLLO 2024 - 2027'!M161</f>
        <v>0.50552782129594898</v>
      </c>
      <c r="S8" s="1073"/>
      <c r="T8" s="64"/>
      <c r="U8" s="2"/>
    </row>
    <row r="9" spans="2:28" ht="184.95" customHeight="1" thickBot="1" x14ac:dyDescent="1.1499999999999999">
      <c r="B9" s="814" t="str">
        <f>+'Capitulo Etnico'!B3:C3</f>
        <v xml:space="preserve">CAPÍTULO DE LOS PUEBLOS Y COMUNIDADES ÉTNICAS
</v>
      </c>
      <c r="C9" s="815">
        <v>0.02</v>
      </c>
      <c r="D9" s="816">
        <v>5.5588624338624326E-2</v>
      </c>
      <c r="E9" s="1154">
        <f>+'PLAN DE DESARROLLO 2024 - 2027'!E198</f>
        <v>0.26321869488536154</v>
      </c>
      <c r="F9" s="1156">
        <f t="shared" si="0"/>
        <v>0.31880731922398586</v>
      </c>
      <c r="G9" s="817">
        <f t="shared" si="2"/>
        <v>0.30633691077441083</v>
      </c>
      <c r="H9" s="818"/>
      <c r="I9" s="818"/>
      <c r="J9" s="818"/>
      <c r="K9" s="818">
        <f>+'PLAN DE DESARROLLO 2024 - 2027'!K198</f>
        <v>0.36192553511303516</v>
      </c>
      <c r="L9" s="818">
        <v>0.40277777777777779</v>
      </c>
      <c r="M9" s="818">
        <f>+'PLAN DE DESARROLLO 2024 - 2027'!I198</f>
        <v>0.87047558922558932</v>
      </c>
      <c r="N9" s="819">
        <f t="shared" si="1"/>
        <v>1.1638113733062478</v>
      </c>
      <c r="O9" s="816">
        <f>+'PLAN DE DESARROLLO 2024 - 2027'!G198</f>
        <v>6.9222222222222241E-2</v>
      </c>
      <c r="P9" s="816">
        <f>+'PLAN DE DESARROLLO 2024 - 2027'!H198</f>
        <v>0.24656944444444442</v>
      </c>
      <c r="Q9" s="817">
        <v>2.2879166666666673E-2</v>
      </c>
      <c r="R9" s="820">
        <f>+'PLAN DE DESARROLLO 2024 - 2027'!M198</f>
        <v>0.33027767045454548</v>
      </c>
      <c r="S9" s="1073"/>
      <c r="T9" s="64"/>
      <c r="U9" s="2"/>
    </row>
    <row r="10" spans="2:28" ht="93.6" x14ac:dyDescent="1.7">
      <c r="B10" s="14"/>
      <c r="D10" s="32"/>
      <c r="E10" s="32"/>
      <c r="F10" s="32"/>
      <c r="G10" s="66"/>
      <c r="H10" s="66"/>
      <c r="I10" s="66"/>
      <c r="J10" s="66"/>
      <c r="T10" s="7"/>
    </row>
    <row r="14" spans="2:28" ht="14.4" x14ac:dyDescent="0.3">
      <c r="T14" s="8"/>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spans="29:29" ht="15.75" customHeight="1" x14ac:dyDescent="0.3"/>
    <row r="34" spans="29:29" ht="15.75" customHeight="1" x14ac:dyDescent="0.3"/>
    <row r="35" spans="29:29" ht="15.75" customHeight="1" x14ac:dyDescent="0.3"/>
    <row r="36" spans="29:29" ht="15.75" customHeight="1" x14ac:dyDescent="0.3"/>
    <row r="37" spans="29:29" ht="15.75" customHeight="1" x14ac:dyDescent="0.3"/>
    <row r="38" spans="29:29" ht="15.75" customHeight="1" x14ac:dyDescent="0.3"/>
    <row r="39" spans="29:29" ht="15.75" customHeight="1" x14ac:dyDescent="0.3"/>
    <row r="40" spans="29:29" ht="15.75" customHeight="1" x14ac:dyDescent="0.3"/>
    <row r="41" spans="29:29" ht="15.75" customHeight="1" x14ac:dyDescent="0.3"/>
    <row r="42" spans="29:29" ht="15.75" customHeight="1" x14ac:dyDescent="0.3"/>
    <row r="43" spans="29:29" ht="15.75" customHeight="1" x14ac:dyDescent="0.3"/>
    <row r="44" spans="29:29" ht="15.75" customHeight="1" x14ac:dyDescent="0.3"/>
    <row r="45" spans="29:29" ht="15.75" customHeight="1" x14ac:dyDescent="0.3"/>
    <row r="46" spans="29:29" ht="15.75" customHeight="1" x14ac:dyDescent="0.3"/>
    <row r="47" spans="29:29" ht="15.75" customHeight="1" x14ac:dyDescent="0.3">
      <c r="AC47" s="134"/>
    </row>
    <row r="48" spans="29:29"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heetProtection password="DF7C" sheet="1" objects="1" scenarios="1"/>
  <mergeCells count="2">
    <mergeCell ref="Y2:Y3"/>
    <mergeCell ref="Z2:Z3"/>
  </mergeCell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2:T67"/>
  <sheetViews>
    <sheetView zoomScale="60" zoomScaleNormal="60" workbookViewId="0">
      <selection activeCell="Q41" sqref="Q41"/>
    </sheetView>
  </sheetViews>
  <sheetFormatPr baseColWidth="10" defaultRowHeight="14.4" x14ac:dyDescent="0.3"/>
  <cols>
    <col min="3" max="3" width="22.21875" customWidth="1"/>
    <col min="4" max="4" width="26.6640625" customWidth="1"/>
    <col min="5" max="5" width="26.109375" customWidth="1"/>
    <col min="6" max="6" width="19.88671875" customWidth="1"/>
    <col min="7" max="7" width="31.44140625" customWidth="1"/>
    <col min="8" max="8" width="34" customWidth="1"/>
    <col min="9" max="9" width="25.6640625" customWidth="1"/>
    <col min="10" max="10" width="13" bestFit="1" customWidth="1"/>
    <col min="16" max="16" width="30.109375" customWidth="1"/>
  </cols>
  <sheetData>
    <row r="2" spans="3:16" ht="15" thickBot="1" x14ac:dyDescent="0.35"/>
    <row r="3" spans="3:16" ht="30" customHeight="1" thickBot="1" x14ac:dyDescent="0.35">
      <c r="C3" s="1419" t="s">
        <v>1489</v>
      </c>
      <c r="D3" s="1420"/>
      <c r="E3" s="1420"/>
      <c r="F3" s="1420"/>
      <c r="G3" s="1420"/>
      <c r="H3" s="1420"/>
      <c r="I3" s="1421"/>
      <c r="J3" s="1397" t="s">
        <v>1522</v>
      </c>
      <c r="K3" s="1398"/>
    </row>
    <row r="4" spans="3:16" ht="44.4" customHeight="1" thickBot="1" x14ac:dyDescent="0.35">
      <c r="C4" s="171" t="s">
        <v>1490</v>
      </c>
      <c r="D4" s="21" t="s">
        <v>1491</v>
      </c>
      <c r="E4" s="21" t="s">
        <v>1492</v>
      </c>
      <c r="F4" s="21" t="s">
        <v>1493</v>
      </c>
      <c r="G4" s="1182" t="s">
        <v>1494</v>
      </c>
      <c r="H4" s="1183" t="s">
        <v>2475</v>
      </c>
      <c r="I4" s="1189" t="s">
        <v>1495</v>
      </c>
      <c r="J4" s="1399"/>
      <c r="K4" s="1400"/>
    </row>
    <row r="5" spans="3:16" ht="37.200000000000003" customHeight="1" thickBot="1" x14ac:dyDescent="0.35">
      <c r="C5" s="172" t="s">
        <v>1496</v>
      </c>
      <c r="D5" s="22" t="s">
        <v>1497</v>
      </c>
      <c r="E5" s="22" t="s">
        <v>1498</v>
      </c>
      <c r="F5" s="22" t="s">
        <v>1499</v>
      </c>
      <c r="G5" s="1137" t="s">
        <v>1500</v>
      </c>
      <c r="H5" s="1184" t="s">
        <v>2480</v>
      </c>
      <c r="I5" s="1190" t="s">
        <v>1497</v>
      </c>
      <c r="J5" s="1399"/>
      <c r="K5" s="1400"/>
    </row>
    <row r="6" spans="3:16" ht="43.2" customHeight="1" thickBot="1" x14ac:dyDescent="0.35">
      <c r="C6" s="173" t="s">
        <v>1501</v>
      </c>
      <c r="D6" s="23" t="s">
        <v>1502</v>
      </c>
      <c r="E6" s="23" t="s">
        <v>1503</v>
      </c>
      <c r="F6" s="23" t="s">
        <v>1504</v>
      </c>
      <c r="G6" s="1138" t="s">
        <v>1505</v>
      </c>
      <c r="H6" s="1185" t="s">
        <v>2479</v>
      </c>
      <c r="I6" s="1191" t="s">
        <v>1502</v>
      </c>
      <c r="J6" s="1399"/>
      <c r="K6" s="1400"/>
    </row>
    <row r="7" spans="3:16" ht="35.4" customHeight="1" thickBot="1" x14ac:dyDescent="0.35">
      <c r="C7" s="174" t="s">
        <v>1506</v>
      </c>
      <c r="D7" s="24" t="s">
        <v>1507</v>
      </c>
      <c r="E7" s="24" t="s">
        <v>1508</v>
      </c>
      <c r="F7" s="24" t="s">
        <v>1509</v>
      </c>
      <c r="G7" s="1139" t="s">
        <v>1510</v>
      </c>
      <c r="H7" s="1186" t="s">
        <v>2478</v>
      </c>
      <c r="I7" s="1192" t="s">
        <v>1507</v>
      </c>
      <c r="J7" s="1399"/>
      <c r="K7" s="1400"/>
    </row>
    <row r="8" spans="3:16" ht="36" customHeight="1" thickBot="1" x14ac:dyDescent="0.35">
      <c r="C8" s="175" t="s">
        <v>1511</v>
      </c>
      <c r="D8" s="25" t="s">
        <v>1512</v>
      </c>
      <c r="E8" s="25" t="s">
        <v>1513</v>
      </c>
      <c r="F8" s="25" t="s">
        <v>1514</v>
      </c>
      <c r="G8" s="1140" t="s">
        <v>1515</v>
      </c>
      <c r="H8" s="1187" t="s">
        <v>2477</v>
      </c>
      <c r="I8" s="1193" t="s">
        <v>1512</v>
      </c>
      <c r="J8" s="1399"/>
      <c r="K8" s="1400"/>
      <c r="P8" s="972"/>
    </row>
    <row r="9" spans="3:16" ht="35.4" customHeight="1" thickBot="1" x14ac:dyDescent="0.35">
      <c r="C9" s="176" t="s">
        <v>1516</v>
      </c>
      <c r="D9" s="26" t="s">
        <v>1517</v>
      </c>
      <c r="E9" s="26" t="s">
        <v>1518</v>
      </c>
      <c r="F9" s="26" t="s">
        <v>1519</v>
      </c>
      <c r="G9" s="1141" t="s">
        <v>1520</v>
      </c>
      <c r="H9" s="1188" t="s">
        <v>2476</v>
      </c>
      <c r="I9" s="1194" t="s">
        <v>1521</v>
      </c>
      <c r="J9" s="1399"/>
      <c r="K9" s="1400"/>
    </row>
    <row r="10" spans="3:16" ht="15" thickBot="1" x14ac:dyDescent="0.35">
      <c r="J10" s="1399"/>
      <c r="K10" s="1400"/>
    </row>
    <row r="11" spans="3:16" ht="49.2" customHeight="1" thickBot="1" x14ac:dyDescent="0.35">
      <c r="D11" s="778"/>
      <c r="E11" s="779" t="s">
        <v>2291</v>
      </c>
      <c r="F11" s="1426" t="s">
        <v>2499</v>
      </c>
      <c r="G11" s="1427"/>
      <c r="J11" s="1399"/>
      <c r="K11" s="1400"/>
    </row>
    <row r="12" spans="3:16" ht="68.400000000000006" customHeight="1" x14ac:dyDescent="0.3">
      <c r="D12" s="1422" t="s">
        <v>1983</v>
      </c>
      <c r="E12" s="1424">
        <f>+'PLAN DE DESARROLLO 2024 - 2027'!I3</f>
        <v>0.82048422327474613</v>
      </c>
      <c r="F12" s="1428" t="s">
        <v>2433</v>
      </c>
      <c r="G12" s="1429"/>
      <c r="I12" s="12"/>
      <c r="J12" s="1399"/>
      <c r="K12" s="1400"/>
      <c r="O12" s="1031"/>
      <c r="P12" s="14"/>
    </row>
    <row r="13" spans="3:16" ht="15" customHeight="1" thickBot="1" x14ac:dyDescent="0.35">
      <c r="D13" s="1423"/>
      <c r="E13" s="1425"/>
      <c r="F13" s="1430"/>
      <c r="G13" s="1431"/>
      <c r="J13" s="1401"/>
      <c r="K13" s="1402"/>
    </row>
    <row r="14" spans="3:16" ht="15" thickBot="1" x14ac:dyDescent="0.35"/>
    <row r="15" spans="3:16" ht="30.6" hidden="1" customHeight="1" thickBot="1" x14ac:dyDescent="0.35"/>
    <row r="16" spans="3:16" ht="50.4" customHeight="1" thickBot="1" x14ac:dyDescent="0.35">
      <c r="C16" s="75" t="s">
        <v>1523</v>
      </c>
      <c r="D16" s="76" t="s">
        <v>1524</v>
      </c>
      <c r="E16" s="76" t="s">
        <v>1525</v>
      </c>
      <c r="F16" s="771" t="str">
        <f>+I27</f>
        <v>ESPERADO ACUMULADO A  DICIEMBRE 2025</v>
      </c>
      <c r="G16" s="77" t="s">
        <v>2500</v>
      </c>
      <c r="H16" s="78" t="s">
        <v>2501</v>
      </c>
      <c r="J16" s="1397" t="s">
        <v>1535</v>
      </c>
      <c r="K16" s="1398"/>
      <c r="O16" s="1031"/>
      <c r="P16" s="14"/>
    </row>
    <row r="17" spans="3:16" ht="14.4" customHeight="1" x14ac:dyDescent="0.3">
      <c r="C17" s="1407" t="s">
        <v>1526</v>
      </c>
      <c r="D17" s="1365"/>
      <c r="E17" s="1395" t="s">
        <v>1527</v>
      </c>
      <c r="F17" s="1403" t="s">
        <v>2464</v>
      </c>
      <c r="G17" s="1411">
        <f>+'PLAN DE DESARROLLO 2024 - 2027'!K3</f>
        <v>0.4849477038031102</v>
      </c>
      <c r="H17" s="1414" t="s">
        <v>2570</v>
      </c>
      <c r="J17" s="1399"/>
      <c r="K17" s="1400"/>
      <c r="O17" s="1075"/>
    </row>
    <row r="18" spans="3:16" ht="15" customHeight="1" thickBot="1" x14ac:dyDescent="0.35">
      <c r="C18" s="1408"/>
      <c r="D18" s="1366"/>
      <c r="E18" s="1396"/>
      <c r="F18" s="1404"/>
      <c r="G18" s="1412"/>
      <c r="H18" s="1415"/>
      <c r="J18" s="1399"/>
      <c r="K18" s="1400"/>
      <c r="O18" s="1075"/>
    </row>
    <row r="19" spans="3:16" ht="24.6" customHeight="1" x14ac:dyDescent="0.3">
      <c r="C19" s="1407" t="s">
        <v>1528</v>
      </c>
      <c r="D19" s="1393"/>
      <c r="E19" s="1395" t="s">
        <v>1529</v>
      </c>
      <c r="F19" s="1405" t="s">
        <v>2463</v>
      </c>
      <c r="G19" s="1412"/>
      <c r="H19" s="1415"/>
      <c r="J19" s="1399"/>
      <c r="K19" s="1400"/>
      <c r="P19" s="14"/>
    </row>
    <row r="20" spans="3:16" ht="15" customHeight="1" thickBot="1" x14ac:dyDescent="0.35">
      <c r="C20" s="1408"/>
      <c r="D20" s="1394"/>
      <c r="E20" s="1396"/>
      <c r="F20" s="1406"/>
      <c r="G20" s="1412"/>
      <c r="H20" s="1415"/>
      <c r="J20" s="1399"/>
      <c r="K20" s="1400"/>
    </row>
    <row r="21" spans="3:16" ht="27" thickBot="1" x14ac:dyDescent="0.35">
      <c r="C21" s="971" t="s">
        <v>1506</v>
      </c>
      <c r="D21" s="27"/>
      <c r="E21" s="31" t="s">
        <v>1530</v>
      </c>
      <c r="F21" s="177" t="s">
        <v>2462</v>
      </c>
      <c r="G21" s="1412"/>
      <c r="H21" s="1415"/>
      <c r="J21" s="1399"/>
      <c r="K21" s="1400"/>
      <c r="P21" s="972"/>
    </row>
    <row r="22" spans="3:16" ht="27" thickBot="1" x14ac:dyDescent="0.35">
      <c r="C22" s="971" t="s">
        <v>1531</v>
      </c>
      <c r="D22" s="29"/>
      <c r="E22" s="28" t="s">
        <v>1532</v>
      </c>
      <c r="F22" s="1037" t="s">
        <v>2461</v>
      </c>
      <c r="G22" s="1412"/>
      <c r="H22" s="1415"/>
      <c r="J22" s="1399"/>
      <c r="K22" s="1400"/>
      <c r="P22" s="14"/>
    </row>
    <row r="23" spans="3:16" ht="37.200000000000003" customHeight="1" thickBot="1" x14ac:dyDescent="0.35">
      <c r="C23" s="971" t="s">
        <v>1533</v>
      </c>
      <c r="D23" s="30"/>
      <c r="E23" s="28" t="s">
        <v>1534</v>
      </c>
      <c r="F23" s="178">
        <f>+I29*0.299</f>
        <v>0.14787355699526639</v>
      </c>
      <c r="G23" s="1413"/>
      <c r="H23" s="1416"/>
      <c r="J23" s="1401"/>
      <c r="K23" s="1402"/>
      <c r="O23" s="14"/>
      <c r="P23" s="14"/>
    </row>
    <row r="24" spans="3:16" x14ac:dyDescent="0.3">
      <c r="F24" s="111"/>
    </row>
    <row r="25" spans="3:16" ht="15" thickBot="1" x14ac:dyDescent="0.35">
      <c r="F25" s="134"/>
      <c r="G25" s="134"/>
      <c r="H25" s="829"/>
      <c r="I25" s="134"/>
      <c r="O25" s="134"/>
    </row>
    <row r="26" spans="3:16" ht="49.8" customHeight="1" thickBot="1" x14ac:dyDescent="0.35">
      <c r="C26" s="67" t="s">
        <v>1523</v>
      </c>
      <c r="D26" s="68" t="s">
        <v>1524</v>
      </c>
      <c r="E26" s="69" t="s">
        <v>1525</v>
      </c>
      <c r="H26" s="112"/>
      <c r="M26" s="14"/>
      <c r="N26" s="14"/>
      <c r="P26" s="780"/>
    </row>
    <row r="27" spans="3:16" ht="20.399999999999999" customHeight="1" x14ac:dyDescent="0.3">
      <c r="C27" s="1391" t="s">
        <v>1526</v>
      </c>
      <c r="D27" s="1365"/>
      <c r="E27" s="1395" t="s">
        <v>1527</v>
      </c>
      <c r="G27" s="1361" t="s">
        <v>1978</v>
      </c>
      <c r="H27" s="1361" t="s">
        <v>1979</v>
      </c>
      <c r="I27" s="1361" t="s">
        <v>1985</v>
      </c>
    </row>
    <row r="28" spans="3:16" ht="28.2" customHeight="1" thickBot="1" x14ac:dyDescent="0.35">
      <c r="C28" s="1392"/>
      <c r="D28" s="1366"/>
      <c r="E28" s="1396"/>
      <c r="G28" s="1362"/>
      <c r="H28" s="1362"/>
      <c r="I28" s="1362"/>
      <c r="M28" s="134"/>
    </row>
    <row r="29" spans="3:16" ht="26.4" customHeight="1" x14ac:dyDescent="0.3">
      <c r="C29" s="1391" t="s">
        <v>1528</v>
      </c>
      <c r="D29" s="1393"/>
      <c r="E29" s="1395" t="s">
        <v>1529</v>
      </c>
      <c r="G29" s="1417">
        <v>0.2014</v>
      </c>
      <c r="H29" s="1409">
        <f>+'SEGUIMIENTO DEL PLAN DE DESARRO'!E3</f>
        <v>0.2931603912885164</v>
      </c>
      <c r="I29" s="1409">
        <f>+G29+H29</f>
        <v>0.49456039128851637</v>
      </c>
      <c r="K29" s="14"/>
      <c r="N29" s="14"/>
    </row>
    <row r="30" spans="3:16" ht="25.8" customHeight="1" thickBot="1" x14ac:dyDescent="0.35">
      <c r="C30" s="1392"/>
      <c r="D30" s="1394"/>
      <c r="E30" s="1396"/>
      <c r="G30" s="1418"/>
      <c r="H30" s="1410"/>
      <c r="I30" s="1410"/>
    </row>
    <row r="31" spans="3:16" ht="27" thickBot="1" x14ac:dyDescent="0.35">
      <c r="C31" s="70" t="s">
        <v>1506</v>
      </c>
      <c r="D31" s="27"/>
      <c r="E31" s="71" t="s">
        <v>1530</v>
      </c>
      <c r="L31" s="780"/>
    </row>
    <row r="32" spans="3:16" ht="27" customHeight="1" thickBot="1" x14ac:dyDescent="0.35">
      <c r="C32" s="70" t="s">
        <v>1531</v>
      </c>
      <c r="D32" s="29"/>
      <c r="E32" s="71" t="s">
        <v>1532</v>
      </c>
      <c r="G32" s="1361" t="s">
        <v>1980</v>
      </c>
      <c r="H32" s="1409">
        <f>+H29/4</f>
        <v>7.3290097822129099E-2</v>
      </c>
      <c r="J32" s="1373" t="s">
        <v>2279</v>
      </c>
      <c r="K32" s="1374"/>
      <c r="L32" s="1375"/>
      <c r="M32" s="1379">
        <v>0.23949999999999999</v>
      </c>
      <c r="N32" s="1380"/>
    </row>
    <row r="33" spans="3:20" ht="15" customHeight="1" thickBot="1" x14ac:dyDescent="0.35">
      <c r="C33" s="72" t="s">
        <v>1533</v>
      </c>
      <c r="D33" s="73"/>
      <c r="E33" s="74" t="s">
        <v>1534</v>
      </c>
      <c r="G33" s="1362"/>
      <c r="H33" s="1410"/>
      <c r="J33" s="1376"/>
      <c r="K33" s="1377"/>
      <c r="L33" s="1378"/>
      <c r="M33" s="1381"/>
      <c r="N33" s="1382"/>
      <c r="P33" s="14"/>
      <c r="T33" s="780"/>
    </row>
    <row r="34" spans="3:20" ht="14.4" customHeight="1" x14ac:dyDescent="0.3">
      <c r="G34" s="1361" t="s">
        <v>1981</v>
      </c>
      <c r="H34" s="1388">
        <f>+M32-G29</f>
        <v>3.8099999999999995E-2</v>
      </c>
      <c r="J34" s="1373" t="s">
        <v>2322</v>
      </c>
      <c r="K34" s="1374"/>
      <c r="L34" s="1375"/>
      <c r="M34" s="1379">
        <v>0.3135</v>
      </c>
      <c r="N34" s="1380"/>
    </row>
    <row r="35" spans="3:20" ht="15" thickBot="1" x14ac:dyDescent="0.35">
      <c r="G35" s="1387"/>
      <c r="H35" s="1389"/>
      <c r="J35" s="1376"/>
      <c r="K35" s="1377"/>
      <c r="L35" s="1378"/>
      <c r="M35" s="1381"/>
      <c r="N35" s="1382"/>
    </row>
    <row r="36" spans="3:20" ht="15" customHeight="1" thickBot="1" x14ac:dyDescent="0.35">
      <c r="G36" s="1362"/>
      <c r="H36" s="1390"/>
      <c r="J36" s="1373" t="s">
        <v>2352</v>
      </c>
      <c r="K36" s="1374"/>
      <c r="L36" s="1375"/>
      <c r="M36" s="1379">
        <v>0.38419999999999999</v>
      </c>
      <c r="N36" s="1380"/>
    </row>
    <row r="37" spans="3:20" ht="15" customHeight="1" thickBot="1" x14ac:dyDescent="0.35">
      <c r="G37" s="1361" t="s">
        <v>2292</v>
      </c>
      <c r="H37" s="1371">
        <f>+M34-M32</f>
        <v>7.400000000000001E-2</v>
      </c>
      <c r="J37" s="1376"/>
      <c r="K37" s="1377"/>
      <c r="L37" s="1378"/>
      <c r="M37" s="1381"/>
      <c r="N37" s="1382"/>
    </row>
    <row r="38" spans="3:20" ht="24.6" customHeight="1" thickBot="1" x14ac:dyDescent="0.35">
      <c r="G38" s="1362"/>
      <c r="H38" s="1372"/>
      <c r="I38" s="14"/>
      <c r="J38" s="1373" t="s">
        <v>2502</v>
      </c>
      <c r="K38" s="1374"/>
      <c r="L38" s="1375"/>
      <c r="M38" s="1383">
        <f>+G17</f>
        <v>0.4849477038031102</v>
      </c>
      <c r="N38" s="1384"/>
    </row>
    <row r="39" spans="3:20" ht="24.6" customHeight="1" thickBot="1" x14ac:dyDescent="0.35">
      <c r="G39" s="1361" t="s">
        <v>2454</v>
      </c>
      <c r="H39" s="1369">
        <f>+M36-M34</f>
        <v>7.0699999999999985E-2</v>
      </c>
      <c r="I39" s="14"/>
      <c r="J39" s="1376"/>
      <c r="K39" s="1377"/>
      <c r="L39" s="1378"/>
      <c r="M39" s="1385"/>
      <c r="N39" s="1386"/>
    </row>
    <row r="40" spans="3:20" ht="24.6" customHeight="1" thickBot="1" x14ac:dyDescent="0.35">
      <c r="G40" s="1362"/>
      <c r="H40" s="1370"/>
      <c r="I40" s="14"/>
      <c r="K40" s="780"/>
      <c r="L40" s="14"/>
    </row>
    <row r="41" spans="3:20" ht="24.6" customHeight="1" x14ac:dyDescent="0.3">
      <c r="G41" s="1361" t="s">
        <v>2561</v>
      </c>
      <c r="H41" s="1369">
        <f>+M38-M36</f>
        <v>0.10074770380311021</v>
      </c>
      <c r="I41" s="14"/>
      <c r="K41" s="780"/>
      <c r="L41" s="14"/>
      <c r="Q41" s="780"/>
    </row>
    <row r="42" spans="3:20" ht="24.6" customHeight="1" thickBot="1" x14ac:dyDescent="0.35">
      <c r="G42" s="1362"/>
      <c r="H42" s="1370"/>
      <c r="I42" s="14"/>
      <c r="K42" s="780"/>
      <c r="L42" s="14"/>
      <c r="N42" s="14"/>
      <c r="P42" s="14"/>
    </row>
    <row r="43" spans="3:20" ht="38.4" customHeight="1" thickBot="1" x14ac:dyDescent="0.35">
      <c r="G43" s="1361" t="s">
        <v>1982</v>
      </c>
      <c r="H43" s="1367">
        <f>+H34-H32</f>
        <v>-3.5190097822129104E-2</v>
      </c>
      <c r="J43" s="14"/>
      <c r="M43" s="780"/>
      <c r="N43" s="14"/>
    </row>
    <row r="44" spans="3:20" ht="36.6" customHeight="1" thickBot="1" x14ac:dyDescent="0.45">
      <c r="G44" s="1362"/>
      <c r="H44" s="1368"/>
      <c r="J44" s="954"/>
      <c r="K44" s="1359" t="s">
        <v>2560</v>
      </c>
      <c r="L44" s="1360"/>
      <c r="M44" s="1357">
        <v>0.43159999999999998</v>
      </c>
      <c r="N44" s="1358"/>
    </row>
    <row r="45" spans="3:20" ht="36" customHeight="1" x14ac:dyDescent="0.3">
      <c r="G45" s="1361" t="s">
        <v>2293</v>
      </c>
      <c r="H45" s="1363">
        <f>H37-H32</f>
        <v>7.0990217787091081E-4</v>
      </c>
      <c r="K45" s="829"/>
      <c r="M45" s="780"/>
    </row>
    <row r="46" spans="3:20" ht="15" customHeight="1" thickBot="1" x14ac:dyDescent="0.35">
      <c r="G46" s="1362"/>
      <c r="H46" s="1364"/>
    </row>
    <row r="47" spans="3:20" ht="31.2" customHeight="1" x14ac:dyDescent="0.3">
      <c r="G47" s="1361" t="s">
        <v>2455</v>
      </c>
      <c r="H47" s="1367">
        <f>+H39-H32</f>
        <v>-2.5900978221291143E-3</v>
      </c>
      <c r="J47" s="134"/>
      <c r="K47" s="134"/>
      <c r="M47" s="14"/>
      <c r="N47" s="14"/>
    </row>
    <row r="48" spans="3:20" ht="15" thickBot="1" x14ac:dyDescent="0.35">
      <c r="G48" s="1362"/>
      <c r="H48" s="1368"/>
    </row>
    <row r="49" spans="7:8" ht="14.4" customHeight="1" x14ac:dyDescent="0.3">
      <c r="G49" s="1361" t="s">
        <v>2503</v>
      </c>
      <c r="H49" s="1363">
        <f>+H41-H32</f>
        <v>2.7457605980981112E-2</v>
      </c>
    </row>
    <row r="50" spans="7:8" ht="44.4" customHeight="1" thickBot="1" x14ac:dyDescent="0.35">
      <c r="G50" s="1362"/>
      <c r="H50" s="1364"/>
    </row>
    <row r="61" spans="7:8" x14ac:dyDescent="0.3">
      <c r="H61" s="106"/>
    </row>
    <row r="63" spans="7:8" x14ac:dyDescent="0.3">
      <c r="H63" s="106"/>
    </row>
    <row r="67" spans="8:8" x14ac:dyDescent="0.3">
      <c r="H67" s="106"/>
    </row>
  </sheetData>
  <sheetProtection password="DF7C" sheet="1" objects="1" scenarios="1"/>
  <mergeCells count="57">
    <mergeCell ref="J3:K13"/>
    <mergeCell ref="J32:L33"/>
    <mergeCell ref="G32:G33"/>
    <mergeCell ref="H32:H33"/>
    <mergeCell ref="G17:G23"/>
    <mergeCell ref="H17:H23"/>
    <mergeCell ref="G27:G28"/>
    <mergeCell ref="G29:G30"/>
    <mergeCell ref="H27:H28"/>
    <mergeCell ref="H29:H30"/>
    <mergeCell ref="I27:I28"/>
    <mergeCell ref="C3:I3"/>
    <mergeCell ref="D12:D13"/>
    <mergeCell ref="E12:E13"/>
    <mergeCell ref="F11:G11"/>
    <mergeCell ref="F12:G13"/>
    <mergeCell ref="C29:C30"/>
    <mergeCell ref="D29:D30"/>
    <mergeCell ref="E29:E30"/>
    <mergeCell ref="M32:N33"/>
    <mergeCell ref="J16:K23"/>
    <mergeCell ref="F17:F18"/>
    <mergeCell ref="F19:F20"/>
    <mergeCell ref="C17:C18"/>
    <mergeCell ref="E27:E28"/>
    <mergeCell ref="I29:I30"/>
    <mergeCell ref="D17:D18"/>
    <mergeCell ref="E17:E18"/>
    <mergeCell ref="C19:C20"/>
    <mergeCell ref="D19:D20"/>
    <mergeCell ref="E19:E20"/>
    <mergeCell ref="C27:C28"/>
    <mergeCell ref="M34:N35"/>
    <mergeCell ref="J38:L39"/>
    <mergeCell ref="M38:N39"/>
    <mergeCell ref="G34:G36"/>
    <mergeCell ref="H34:H36"/>
    <mergeCell ref="J36:L37"/>
    <mergeCell ref="M36:N37"/>
    <mergeCell ref="G39:G40"/>
    <mergeCell ref="H39:H40"/>
    <mergeCell ref="M44:N44"/>
    <mergeCell ref="K44:L44"/>
    <mergeCell ref="G49:G50"/>
    <mergeCell ref="H49:H50"/>
    <mergeCell ref="D27:D28"/>
    <mergeCell ref="G47:G48"/>
    <mergeCell ref="H47:H48"/>
    <mergeCell ref="H43:H44"/>
    <mergeCell ref="G43:G44"/>
    <mergeCell ref="G41:G42"/>
    <mergeCell ref="H41:H42"/>
    <mergeCell ref="G45:G46"/>
    <mergeCell ref="H45:H46"/>
    <mergeCell ref="G37:G38"/>
    <mergeCell ref="H37:H38"/>
    <mergeCell ref="J34:L3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Seguridad Humana</vt:lpstr>
      <vt:lpstr>Vida Digna</vt:lpstr>
      <vt:lpstr>Desarrollo Economico</vt:lpstr>
      <vt:lpstr>Ciudad Conectada</vt:lpstr>
      <vt:lpstr>Innovación Pública</vt:lpstr>
      <vt:lpstr>Capitulo Etnico</vt:lpstr>
      <vt:lpstr>PLAN DE DESARROLLO 2024 - 2027</vt:lpstr>
      <vt:lpstr>SEGUIMIENTO DEL PLAN DE DESARRO</vt:lpstr>
      <vt:lpstr>CRITERIOS DE EVALUACIÓN</vt:lpstr>
      <vt:lpstr>GRAFICAS SEGURIDAD HUMANA</vt:lpstr>
      <vt:lpstr>GRAFICAS VIDA DIGNA </vt:lpstr>
      <vt:lpstr>GRAFICAS DESARROLLO ECONOMICO</vt:lpstr>
      <vt:lpstr>GRAFICAS CIUDAD CONECTADA</vt:lpstr>
      <vt:lpstr>GRAFICAS INNOVACIÓN Y PARTICIPA</vt:lpstr>
      <vt:lpstr>GRAFICAS CAPITULO ETNICO</vt:lpstr>
      <vt:lpstr>Matriz de Visor</vt:lpstr>
      <vt:lpstr>REPROGRAMACIÓN - GRAFICAS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Yamil Gomez Rocha</dc:creator>
  <cp:lastModifiedBy>LUZ  MARINA SEVERICHE MONROY</cp:lastModifiedBy>
  <dcterms:created xsi:type="dcterms:W3CDTF">2024-09-07T07:59:19Z</dcterms:created>
  <dcterms:modified xsi:type="dcterms:W3CDTF">2026-01-31T16:06:58Z</dcterms:modified>
</cp:coreProperties>
</file>